
<file path=[Content_Types].xml><?xml version="1.0" encoding="utf-8"?>
<Types xmlns="http://schemas.openxmlformats.org/package/2006/content-types">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5.vml" ContentType="application/vnd.openxmlformats-officedocument.vmlDrawing"/>
  <Override PartName="/xl/drawings/drawing5.xml" ContentType="application/vnd.openxmlformats-officedocument.drawing+xml"/>
  <Override PartName="/xl/drawings/vmlDrawing4.vml" ContentType="application/vnd.openxmlformats-officedocument.vmlDrawing"/>
  <Override PartName="/xl/drawings/drawing4.xml" ContentType="application/vnd.openxmlformats-officedocument.drawing+xml"/>
  <Override PartName="/xl/drawings/vmlDrawing1.vml" ContentType="application/vnd.openxmlformats-officedocument.vmlDrawing"/>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Productos" sheetId="1" state="visible" r:id="rId2"/>
    <sheet name="Ingredientes" sheetId="2" state="visible" r:id="rId3"/>
    <sheet name="Resumen recetas productos" sheetId="3" state="visible" r:id="rId4"/>
    <sheet name="Asignación" sheetId="4" state="visible" r:id="rId5"/>
    <sheet name="Stock mínimo" sheetId="5" state="visible" r:id="rId6"/>
    <sheet name="Productos Enunciado" sheetId="6" state="visible" r:id="rId7"/>
    <sheet name="Ids de grupos" sheetId="7" state="visible" r:id="rId8"/>
    <sheet name="SKUs bodega" sheetId="8" state="hidden" r:id="rId9"/>
    <sheet name="Lista producción bodega" sheetId="9" state="hidden" r:id="rId10"/>
    <sheet name="Formulas" sheetId="10" state="hidden" r:id="rId11"/>
  </sheets>
  <definedNames>
    <definedName function="false" hidden="true" localSheetId="3" name="_xlnm._FilterDatabase" vbProcedure="false">Asignación!$A$1:$C$113</definedName>
    <definedName function="false" hidden="true" localSheetId="1" name="_xlnm._FilterDatabase" vbProcedure="false">Ingredientes!$A$1:$J$1021</definedName>
    <definedName function="false" hidden="true" localSheetId="0" name="_xlnm._FilterDatabase" vbProcedure="false">Productos!$A$1:$AC$79</definedName>
    <definedName function="false" hidden="true" localSheetId="2" name="_xlnm._FilterDatabase" vbProcedure="false">'Resumen recetas productos'!$A$1:$M$79</definedName>
    <definedName function="false" hidden="true" localSheetId="4" name="_xlnm._FilterDatabase" vbProcedure="false">'Stock mínimo'!$A$1:$D$24</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C1" authorId="0">
      <text>
        <r>
          <rPr>
            <sz val="10"/>
            <color rgb="FF000000"/>
            <rFont val="Arial"/>
            <family val="0"/>
            <charset val="1"/>
          </rPr>
          <t xml:space="preserve">Descripción del producto</t>
        </r>
      </text>
    </comment>
    <comment ref="E1" authorId="0">
      <text>
        <r>
          <rPr>
            <sz val="10"/>
            <color rgb="FF000000"/>
            <rFont val="Arial"/>
            <family val="0"/>
            <charset val="1"/>
          </rPr>
          <t xml:space="preserve">Precio de venta</t>
        </r>
      </text>
    </comment>
    <comment ref="F1" authorId="0">
      <text>
        <r>
          <rPr>
            <sz val="10"/>
            <color rgb="FF000000"/>
            <rFont val="Arial"/>
            <family val="0"/>
            <charset val="1"/>
          </rPr>
          <t xml:space="preserve">Número de ingredientes utilizados para fabricar este producto</t>
        </r>
      </text>
    </comment>
    <comment ref="G1" authorId="0">
      <text>
        <r>
          <rPr>
            <sz val="10"/>
            <color rgb="FF000000"/>
            <rFont val="Arial"/>
            <family val="0"/>
            <charset val="1"/>
          </rPr>
          <t xml:space="preserve">Por cuantos productos es usado este ingrediente</t>
        </r>
      </text>
    </comment>
    <comment ref="H1" authorId="0">
      <text>
        <r>
          <rPr>
            <sz val="10"/>
            <color rgb="FF000000"/>
            <rFont val="Arial"/>
            <family val="0"/>
            <charset val="1"/>
          </rPr>
          <t xml:space="preserve">Tiempo esperado de vida antes de vencerse (en horas)</t>
        </r>
      </text>
    </comment>
    <comment ref="I1" authorId="0">
      <text>
        <r>
          <rPr>
            <sz val="10"/>
            <color rgb="FF000000"/>
            <rFont val="Arial"/>
            <family val="0"/>
            <charset val="1"/>
          </rPr>
          <t xml:space="preserve">Qué unidad de medida corresponde a una unidad en bodega</t>
        </r>
      </text>
    </comment>
    <comment ref="K1" authorId="0">
      <text>
        <r>
          <rPr>
            <sz val="10"/>
            <color rgb="FF000000"/>
            <rFont val="Arial"/>
            <family val="0"/>
            <charset val="1"/>
          </rPr>
          <t xml:space="preserve">Tamaño del lote para producción (la fabricación debe ser en múltiplos de este número)</t>
        </r>
      </text>
    </comment>
    <comment ref="L1" authorId="0">
      <text>
        <r>
          <rPr>
            <sz val="10"/>
            <color rgb="FF000000"/>
            <rFont val="Arial"/>
            <family val="0"/>
            <charset val="1"/>
          </rPr>
          <t xml:space="preserve">Tiempo esperado para producir, en minutos</t>
        </r>
      </text>
    </comment>
    <comment ref="M1" authorId="0">
      <text>
        <r>
          <rPr>
            <sz val="10"/>
            <color rgb="FF000000"/>
            <rFont val="Arial"/>
            <family val="0"/>
            <charset val="1"/>
          </rPr>
          <t xml:space="preserve">Qué grupos pueden producir este producto</t>
        </r>
      </text>
    </comment>
  </commentList>
</comments>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Nombre del producto a preparar</t>
        </r>
      </text>
    </comment>
    <comment ref="C1" authorId="0">
      <text>
        <r>
          <rPr>
            <sz val="10"/>
            <color rgb="FF000000"/>
            <rFont val="Arial"/>
            <family val="0"/>
            <charset val="1"/>
          </rPr>
          <t xml:space="preserve">SKU del ingrediente</t>
        </r>
      </text>
    </comment>
    <comment ref="D1" authorId="0">
      <text>
        <r>
          <rPr>
            <sz val="10"/>
            <color rgb="FF000000"/>
            <rFont val="Arial"/>
            <family val="0"/>
            <charset val="1"/>
          </rPr>
          <t xml:space="preserve">Nombre del ingrediente</t>
        </r>
      </text>
    </comment>
    <comment ref="E1" authorId="0">
      <text>
        <r>
          <rPr>
            <sz val="10"/>
            <color rgb="FF000000"/>
            <rFont val="Arial"/>
            <family val="0"/>
            <charset val="1"/>
          </rPr>
          <t xml:space="preserve">Cantidad de ingrediente a usar para una unidad del producto</t>
        </r>
      </text>
    </comment>
    <comment ref="G1" authorId="0">
      <text>
        <r>
          <rPr>
            <sz val="10"/>
            <color rgb="FF000000"/>
            <rFont val="Arial"/>
            <family val="0"/>
            <charset val="1"/>
          </rPr>
          <t xml:space="preserve">Tamaño del lote de producción para el producto</t>
        </r>
      </text>
    </comment>
    <comment ref="H1" authorId="0">
      <text>
        <r>
          <rPr>
            <sz val="10"/>
            <color rgb="FF000000"/>
            <rFont val="Arial"/>
            <family val="0"/>
            <charset val="1"/>
          </rPr>
          <t xml:space="preserve">Cantidad total requerida para producir 1 lote</t>
        </r>
      </text>
    </comment>
    <comment ref="J1" authorId="0">
      <text>
        <r>
          <rPr>
            <sz val="10"/>
            <color rgb="FF000000"/>
            <rFont val="Arial"/>
            <family val="0"/>
            <charset val="1"/>
          </rPr>
          <t xml:space="preserve">Cantidad equivalente en "unidades bodega" para producir 1 lote
Algunos valores están redondeados hacia arriba para calzar con sistema bodega que  trabaja con número enteros</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C1" authorId="0">
      <text>
        <r>
          <rPr>
            <sz val="10"/>
            <color rgb="FF000000"/>
            <rFont val="Arial"/>
            <family val="0"/>
            <charset val="1"/>
          </rPr>
          <t xml:space="preserve">Descripción del producto</t>
        </r>
      </text>
    </comment>
    <comment ref="D1" authorId="0">
      <text>
        <r>
          <rPr>
            <sz val="10"/>
            <color rgb="FF000000"/>
            <rFont val="Arial"/>
            <family val="0"/>
            <charset val="1"/>
          </rPr>
          <t xml:space="preserve">Número de ingredientes utilizados para fabricar este producto</t>
        </r>
      </text>
    </comment>
    <comment ref="K1" authorId="0">
      <text>
        <r>
          <rPr>
            <sz val="10"/>
            <color rgb="FF000000"/>
            <rFont val="Arial"/>
            <family val="0"/>
            <charset val="1"/>
          </rPr>
          <t xml:space="preserve">Espacio disponible requerido en almacén despacho para producir 1 lote de este producto</t>
        </r>
      </text>
    </comment>
    <comment ref="L1" authorId="0">
      <text>
        <r>
          <rPr>
            <sz val="10"/>
            <color rgb="FF000000"/>
            <rFont val="Arial"/>
            <family val="0"/>
            <charset val="1"/>
          </rPr>
          <t xml:space="preserve">Espacio requerido en almacén de recepción para recibir la producción de 1 lote de este producto</t>
        </r>
      </text>
    </comment>
    <comment ref="M1" authorId="0">
      <text>
        <r>
          <rPr>
            <sz val="10"/>
            <color rgb="FF000000"/>
            <rFont val="Arial"/>
            <family val="0"/>
            <charset val="1"/>
          </rPr>
          <t xml:space="preserve">Tipo de fabricación del producto, si se hace en fábrica (fabricación externa) o en cocina (fabricación interna)</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C1" authorId="0">
      <text>
        <r>
          <rPr>
            <sz val="10"/>
            <color rgb="FF000000"/>
            <rFont val="Arial"/>
            <family val="0"/>
            <charset val="1"/>
          </rPr>
          <t xml:space="preserve">Grupo asignado al producto</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D1" authorId="0">
      <text>
        <r>
          <rPr>
            <sz val="10"/>
            <color rgb="FF000000"/>
            <rFont val="Arial"/>
            <family val="0"/>
            <charset val="1"/>
          </rPr>
          <t xml:space="preserve">Mínima cantidad de unidades en bodega que se deben tener para cumplir con requisito
El stock mínimo se calcula como la cantidad de ingredientes necesaria para producir 10 productos finales de cada tipo</t>
        </r>
      </text>
    </comment>
    <comment ref="E1" authorId="0">
      <text>
        <r>
          <rPr>
            <sz val="10"/>
            <color rgb="FF000000"/>
            <rFont val="Arial"/>
            <family val="0"/>
            <charset val="1"/>
          </rPr>
          <t xml:space="preserve"># de ingredientes para producir este producto</t>
        </r>
      </text>
    </comment>
  </commentList>
</comments>
</file>

<file path=xl/sharedStrings.xml><?xml version="1.0" encoding="utf-8"?>
<sst xmlns="http://schemas.openxmlformats.org/spreadsheetml/2006/main" count="753" uniqueCount="269">
  <si>
    <t xml:space="preserve">SKU</t>
  </si>
  <si>
    <t xml:space="preserve">Nombre</t>
  </si>
  <si>
    <t xml:space="preserve">Descripción</t>
  </si>
  <si>
    <t xml:space="preserve">Costo producción lote</t>
  </si>
  <si>
    <t xml:space="preserve">Precio venta</t>
  </si>
  <si>
    <t xml:space="preserve"># Ingredientes</t>
  </si>
  <si>
    <t xml:space="preserve">Usado por</t>
  </si>
  <si>
    <t xml:space="preserve">Duración esperada (hrs)</t>
  </si>
  <si>
    <t xml:space="preserve">Equivalencia unidades bodega</t>
  </si>
  <si>
    <t xml:space="preserve">Unidad</t>
  </si>
  <si>
    <t xml:space="preserve">Lote producción</t>
  </si>
  <si>
    <t xml:space="preserve">Tiempo esperado producción (mins)</t>
  </si>
  <si>
    <t xml:space="preserve">Grupos Productores</t>
  </si>
  <si>
    <t xml:space="preserve">Total Grupos Productores</t>
  </si>
  <si>
    <t xml:space="preserve">Producción</t>
  </si>
  <si>
    <t xml:space="preserve">Arroz grano corto</t>
  </si>
  <si>
    <t xml:space="preserve">Arroz crudo grano corto, especial para sushi</t>
  </si>
  <si>
    <t xml:space="preserve">Kg</t>
  </si>
  <si>
    <t xml:space="preserve">fabrica</t>
  </si>
  <si>
    <t xml:space="preserve">Vinagre de arroz</t>
  </si>
  <si>
    <t xml:space="preserve">Lt</t>
  </si>
  <si>
    <t xml:space="preserve">Azúcar</t>
  </si>
  <si>
    <t xml:space="preserve">Azúcar granel</t>
  </si>
  <si>
    <t xml:space="preserve">Sal</t>
  </si>
  <si>
    <t xml:space="preserve">Sal granel</t>
  </si>
  <si>
    <t xml:space="preserve">Kanikama entero</t>
  </si>
  <si>
    <t xml:space="preserve">Camarón</t>
  </si>
  <si>
    <t xml:space="preserve">Camarón congelado a granel</t>
  </si>
  <si>
    <t xml:space="preserve">Unid</t>
  </si>
  <si>
    <t xml:space="preserve">Filete de salmón</t>
  </si>
  <si>
    <t xml:space="preserve">Filete de salmón fresco</t>
  </si>
  <si>
    <t xml:space="preserve">Filete de salmón ahumado</t>
  </si>
  <si>
    <t xml:space="preserve">Filete de salmón ahudo para preparaciones</t>
  </si>
  <si>
    <t xml:space="preserve">Filete de atún</t>
  </si>
  <si>
    <t xml:space="preserve">Filete de atún fresco</t>
  </si>
  <si>
    <t xml:space="preserve">Palta</t>
  </si>
  <si>
    <t xml:space="preserve">Palta entera</t>
  </si>
  <si>
    <t xml:space="preserve">Sésamo</t>
  </si>
  <si>
    <t xml:space="preserve">Sésamo granel</t>
  </si>
  <si>
    <t xml:space="preserve">Queso crema</t>
  </si>
  <si>
    <t xml:space="preserve">Queso crema granel</t>
  </si>
  <si>
    <t xml:space="preserve">Masago</t>
  </si>
  <si>
    <t xml:space="preserve">Huevos de Capelán</t>
  </si>
  <si>
    <t xml:space="preserve">Cebollín entero</t>
  </si>
  <si>
    <t xml:space="preserve">Unidad de cebollín entero, con tallo y hojas</t>
  </si>
  <si>
    <t xml:space="preserve">Ciboulette entero</t>
  </si>
  <si>
    <t xml:space="preserve">Ciboulette fresco a granel, entero</t>
  </si>
  <si>
    <t xml:space="preserve">Nori entero</t>
  </si>
  <si>
    <t xml:space="preserve">Alga Nori deshidratada entera</t>
  </si>
  <si>
    <t xml:space="preserve">Arroz cocido</t>
  </si>
  <si>
    <t xml:space="preserve">Arroz cocido para sushi, con vinagre de arroz, azúcar y sal</t>
  </si>
  <si>
    <t xml:space="preserve">Kanikama para roll</t>
  </si>
  <si>
    <t xml:space="preserve">Kanikama cortado y porcionado para un roll </t>
  </si>
  <si>
    <t xml:space="preserve">Camarón cocido</t>
  </si>
  <si>
    <t xml:space="preserve">Camarón cocido al agua, porcionado para un roll o nigiri</t>
  </si>
  <si>
    <t xml:space="preserve">Salmón cortado para roll</t>
  </si>
  <si>
    <t xml:space="preserve">Filete de salmón cortado y porcionado para un roll</t>
  </si>
  <si>
    <t xml:space="preserve">Salmón ahumado cortado para roll</t>
  </si>
  <si>
    <t xml:space="preserve">Filete de salmón ahumado cortado y porcionado para un roll</t>
  </si>
  <si>
    <t xml:space="preserve">Atún cortado para roll</t>
  </si>
  <si>
    <t xml:space="preserve">Filete de atún cortado y porcionado para un roll</t>
  </si>
  <si>
    <t xml:space="preserve">Palta cortada para envoltura</t>
  </si>
  <si>
    <t xml:space="preserve">Palta fileteada para envoltura de un roll</t>
  </si>
  <si>
    <t xml:space="preserve">Sésamo tostado</t>
  </si>
  <si>
    <t xml:space="preserve">Queso crema para roll</t>
  </si>
  <si>
    <t xml:space="preserve">Queso crema porcionado para un roll o nigiri</t>
  </si>
  <si>
    <t xml:space="preserve">Cebollín cortado para roll</t>
  </si>
  <si>
    <t xml:space="preserve">Cebollín cortado y porcionado para un roll</t>
  </si>
  <si>
    <t xml:space="preserve">Ciboulette picado para roll</t>
  </si>
  <si>
    <t xml:space="preserve">Ciboulette cortado y porcionado para un roll</t>
  </si>
  <si>
    <t xml:space="preserve">Nori entero cortado para roll</t>
  </si>
  <si>
    <t xml:space="preserve">Alga Nori cortada para relleno interior de roll</t>
  </si>
  <si>
    <t xml:space="preserve">Arroz cocido para roll</t>
  </si>
  <si>
    <t xml:space="preserve">Arroz cocido, porcionado para un roll</t>
  </si>
  <si>
    <t xml:space="preserve">Salmón cortado para nigiri</t>
  </si>
  <si>
    <t xml:space="preserve">Filete de salmón cortado y porcionado para nigiri</t>
  </si>
  <si>
    <t xml:space="preserve">Atún cortado para nigiri</t>
  </si>
  <si>
    <t xml:space="preserve">Filete de atún cortado y porcionado para nigiri</t>
  </si>
  <si>
    <t xml:space="preserve">Palta cortada para roll</t>
  </si>
  <si>
    <t xml:space="preserve">Palta cortada en cubos, porcionada para un roll con palta</t>
  </si>
  <si>
    <t xml:space="preserve">Sésamo tostado para envoltura</t>
  </si>
  <si>
    <t xml:space="preserve">Sésamo tostado, porcionado para envoltura de un roll</t>
  </si>
  <si>
    <t xml:space="preserve">Ciboulette picado para envoltura</t>
  </si>
  <si>
    <t xml:space="preserve">Ciboulette cortado finamente para ser usado de envoltura</t>
  </si>
  <si>
    <t xml:space="preserve">Nori entero cortado para nigiri</t>
  </si>
  <si>
    <t xml:space="preserve">Alga Nori cortada envolver nigiri</t>
  </si>
  <si>
    <t xml:space="preserve">Arroz cocido para nigiri</t>
  </si>
  <si>
    <t xml:space="preserve">Arroz cocido, pocionado para nigiri</t>
  </si>
  <si>
    <t xml:space="preserve">Salmón cortado para sashimi</t>
  </si>
  <si>
    <t xml:space="preserve">Filete de salmón cortado para sashimi, porcionado en 3 cortes</t>
  </si>
  <si>
    <t xml:space="preserve">Atún cortado para sashimi</t>
  </si>
  <si>
    <t xml:space="preserve">Filete de atún cortado para sashimi, porcionado en 3 cortes</t>
  </si>
  <si>
    <t xml:space="preserve">Palta cortada para nigiri</t>
  </si>
  <si>
    <t xml:space="preserve">Palta cortada en láminas, porcionada para nigiri con palta</t>
  </si>
  <si>
    <t xml:space="preserve">Salmón cortado para envoltura</t>
  </si>
  <si>
    <t xml:space="preserve">Salmón cortado finamente y porcionado para envoltura de roll</t>
  </si>
  <si>
    <t xml:space="preserve">California Maki Sésamo</t>
  </si>
  <si>
    <t xml:space="preserve">Roll kanikama, palta, envuelto en sésamo</t>
  </si>
  <si>
    <t xml:space="preserve">cocina</t>
  </si>
  <si>
    <t xml:space="preserve">California Maki Masago</t>
  </si>
  <si>
    <t xml:space="preserve">Roll kanikama, palta, envuelto en masago</t>
  </si>
  <si>
    <t xml:space="preserve">California Maki Mix</t>
  </si>
  <si>
    <t xml:space="preserve">Roll kanikama, palta, envuelto en mezcla de masago y sésamo</t>
  </si>
  <si>
    <t xml:space="preserve">California Ebi Sésamo</t>
  </si>
  <si>
    <t xml:space="preserve">Roll con camarón, palta, envuelto en sésamo</t>
  </si>
  <si>
    <t xml:space="preserve">California Ebi Masago</t>
  </si>
  <si>
    <t xml:space="preserve">Roll con camarón, palta, envuelto en masago</t>
  </si>
  <si>
    <t xml:space="preserve">California Sake Sésamo</t>
  </si>
  <si>
    <t xml:space="preserve">Roll salmón, palta, envuelto en sésamo</t>
  </si>
  <si>
    <t xml:space="preserve">California Sake Masago</t>
  </si>
  <si>
    <t xml:space="preserve">Roll salmón, palta, envuelto en masago</t>
  </si>
  <si>
    <t xml:space="preserve">California Maguro Sésamo</t>
  </si>
  <si>
    <t xml:space="preserve">Roll atún, palta, envuelto en sésamo</t>
  </si>
  <si>
    <t xml:space="preserve">California Maguro Masago</t>
  </si>
  <si>
    <t xml:space="preserve">Roll atún, palta, envuelto en masago</t>
  </si>
  <si>
    <t xml:space="preserve">Ebi</t>
  </si>
  <si>
    <t xml:space="preserve">Roll con camarón y palta, envuelto en palta</t>
  </si>
  <si>
    <t xml:space="preserve">Ebi Especial</t>
  </si>
  <si>
    <t xml:space="preserve">Roll con camarón, queso crema, cebollín, envuelto en palta</t>
  </si>
  <si>
    <t xml:space="preserve">Turo</t>
  </si>
  <si>
    <t xml:space="preserve">Roll con salmón ahumado, camarón y queso crema, envuelto en palta</t>
  </si>
  <si>
    <t xml:space="preserve">Coca</t>
  </si>
  <si>
    <t xml:space="preserve">Roll con camarón y queso crema, envuelto en palta</t>
  </si>
  <si>
    <t xml:space="preserve">Akita</t>
  </si>
  <si>
    <t xml:space="preserve">Roll kanikama y queso crema, envuelto en palta</t>
  </si>
  <si>
    <t xml:space="preserve">Delicia</t>
  </si>
  <si>
    <t xml:space="preserve">Roll con camarón, queso crema y ciboulette, envuelto en palta</t>
  </si>
  <si>
    <t xml:space="preserve">Beto</t>
  </si>
  <si>
    <t xml:space="preserve">Roll con salmón, camarón y queso crema, envuelto en palta</t>
  </si>
  <si>
    <t xml:space="preserve">Avocado</t>
  </si>
  <si>
    <t xml:space="preserve">Roll salmón y queso crema, envuelto en palta</t>
  </si>
  <si>
    <t xml:space="preserve">Maki Salmón</t>
  </si>
  <si>
    <t xml:space="preserve">Kanikama, palta y queso crema envuelto en salmón</t>
  </si>
  <si>
    <t xml:space="preserve">Ebi Salmón</t>
  </si>
  <si>
    <t xml:space="preserve">Camarón y palta envuelto en salmón</t>
  </si>
  <si>
    <t xml:space="preserve">Ebi Salmón Especial</t>
  </si>
  <si>
    <t xml:space="preserve">Camarón, queso crema y cebollín, envuelto en salmón</t>
  </si>
  <si>
    <t xml:space="preserve">Maguro Salmón</t>
  </si>
  <si>
    <t xml:space="preserve">Atún, palta y cebollín, envuelto en salmón</t>
  </si>
  <si>
    <t xml:space="preserve">Sake Ciboulette</t>
  </si>
  <si>
    <t xml:space="preserve">Salmón, palta y queso crema envuelto en Ciboulette</t>
  </si>
  <si>
    <t xml:space="preserve">Maguro Ciboulette</t>
  </si>
  <si>
    <t xml:space="preserve">Atún, palta y queso crema envuelto en Ciboulette</t>
  </si>
  <si>
    <t xml:space="preserve">Vegan Sésamo</t>
  </si>
  <si>
    <t xml:space="preserve">Roll vegano con palta, cebollín y ciboulette envuelto en sésamo</t>
  </si>
  <si>
    <t xml:space="preserve">Vegan Masago</t>
  </si>
  <si>
    <t xml:space="preserve">Roll vegano con palta, cebollín y ciboulette envuelto en masago</t>
  </si>
  <si>
    <t xml:space="preserve">Nigiri Avocado</t>
  </si>
  <si>
    <t xml:space="preserve">Nigiri con salmón, palta y queso crema</t>
  </si>
  <si>
    <t xml:space="preserve">Nigiri Ebi</t>
  </si>
  <si>
    <t xml:space="preserve">Nigiri con camarón</t>
  </si>
  <si>
    <t xml:space="preserve">Nigiri Sake</t>
  </si>
  <si>
    <t xml:space="preserve">Nigiri con salmón</t>
  </si>
  <si>
    <t xml:space="preserve">Nigiri Maguro</t>
  </si>
  <si>
    <t xml:space="preserve">Nigiri con atún</t>
  </si>
  <si>
    <t xml:space="preserve">Nigiri Maguro Especial</t>
  </si>
  <si>
    <t xml:space="preserve">Nigiri con atún, palta y queso crema</t>
  </si>
  <si>
    <t xml:space="preserve">Sashimi Salmón 9 cortes</t>
  </si>
  <si>
    <t xml:space="preserve">Sashimi de salmón, 9 cortes</t>
  </si>
  <si>
    <t xml:space="preserve">Sashimi Salmón 12 cortes</t>
  </si>
  <si>
    <t xml:space="preserve">Sashimi de salmón, 12 cortes</t>
  </si>
  <si>
    <t xml:space="preserve">Sashimi Salmón 15 cortes</t>
  </si>
  <si>
    <t xml:space="preserve">Sashimi de salmón, 15 cortes</t>
  </si>
  <si>
    <t xml:space="preserve">Sashimi Atún 9 cortes</t>
  </si>
  <si>
    <t xml:space="preserve">Sashimi de atún, 9 cortes</t>
  </si>
  <si>
    <t xml:space="preserve">Sashimi Atún 12 cortes</t>
  </si>
  <si>
    <t xml:space="preserve">Sashimi de atún, 12 cortes</t>
  </si>
  <si>
    <t xml:space="preserve">Sashimi Atún 15 cortes</t>
  </si>
  <si>
    <t xml:space="preserve">Sashimi de atún, 15 cortes</t>
  </si>
  <si>
    <t xml:space="preserve">Sashimi Mix 12 cortes</t>
  </si>
  <si>
    <t xml:space="preserve">Mix de 6 cortes de sashimi de atún y 6 cortes de sashimi de salmón</t>
  </si>
  <si>
    <t xml:space="preserve">Sashimi Mix 18 cortes</t>
  </si>
  <si>
    <t xml:space="preserve">Mix de 9 cortes de sashimi de atún y 9 cortes de sashimi de salmón</t>
  </si>
  <si>
    <t xml:space="preserve">SKU Producto</t>
  </si>
  <si>
    <t xml:space="preserve">Nombre Producto</t>
  </si>
  <si>
    <t xml:space="preserve">SKU Ingrediente</t>
  </si>
  <si>
    <t xml:space="preserve">Nombre Ingrediente</t>
  </si>
  <si>
    <t xml:space="preserve">Cantidad</t>
  </si>
  <si>
    <t xml:space="preserve">Cantidad para lote</t>
  </si>
  <si>
    <t xml:space="preserve">Unidades bodega</t>
  </si>
  <si>
    <t xml:space="preserve">Ingrediente 1</t>
  </si>
  <si>
    <t xml:space="preserve">Ingrediente 2</t>
  </si>
  <si>
    <t xml:space="preserve">Ingrediente 3</t>
  </si>
  <si>
    <t xml:space="preserve">Ingrediente 4</t>
  </si>
  <si>
    <t xml:space="preserve">Ingrediente 5</t>
  </si>
  <si>
    <t xml:space="preserve">Ingrediente 6</t>
  </si>
  <si>
    <t xml:space="preserve">Espacio para producir</t>
  </si>
  <si>
    <t xml:space="preserve">Espacio para recibir producción</t>
  </si>
  <si>
    <t xml:space="preserve">Tipo Fabricación</t>
  </si>
  <si>
    <t xml:space="preserve">Grupo</t>
  </si>
  <si>
    <t xml:space="preserve">Productos</t>
  </si>
  <si>
    <t xml:space="preserve">ok</t>
  </si>
  <si>
    <t xml:space="preserve">Productos que lo requieren</t>
  </si>
  <si>
    <t xml:space="preserve">Stock mínimo (unidades en bodega)</t>
  </si>
  <si>
    <t xml:space="preserve">Sku Ingrediente</t>
  </si>
  <si>
    <t xml:space="preserve">Número de grupo</t>
  </si>
  <si>
    <t xml:space="preserve">Id Desarrollo</t>
  </si>
  <si>
    <t xml:space="preserve">Id Produccion</t>
  </si>
  <si>
    <t xml:space="preserve">5cbd31b7c445af0004739be3 </t>
  </si>
  <si>
    <t xml:space="preserve">5cc66e378820160004a4c3bc </t>
  </si>
  <si>
    <t xml:space="preserve">5cbd31b7c445af0004739be4 </t>
  </si>
  <si>
    <t xml:space="preserve">5cc66e378820160004a4c3bd </t>
  </si>
  <si>
    <t xml:space="preserve">5cbd31b7c445af0004739be5 </t>
  </si>
  <si>
    <t xml:space="preserve">5cc66e378820160004a4c3be </t>
  </si>
  <si>
    <t xml:space="preserve">5cbd31b7c445af0004739be6 </t>
  </si>
  <si>
    <t xml:space="preserve">5cc66e378820160004a4c3bf </t>
  </si>
  <si>
    <t xml:space="preserve">5cbd31b7c445af0004739be7 </t>
  </si>
  <si>
    <t xml:space="preserve">5cc66e378820160004a4c3c0 </t>
  </si>
  <si>
    <t xml:space="preserve">5cbd31b7c445af0004739be8 </t>
  </si>
  <si>
    <t xml:space="preserve">5cc66e378820160004a4c3c1 </t>
  </si>
  <si>
    <t xml:space="preserve">5cbd31b7c445af0004739be9 </t>
  </si>
  <si>
    <t xml:space="preserve">5cc66e378820160004a4c3c2 </t>
  </si>
  <si>
    <t xml:space="preserve">5cbd31b7c445af0004739bea </t>
  </si>
  <si>
    <t xml:space="preserve">5cc66e378820160004a4c3c3 </t>
  </si>
  <si>
    <t xml:space="preserve">5cbd31b7c445af0004739beb </t>
  </si>
  <si>
    <t xml:space="preserve">5cc66e378820160004a4c3c4 </t>
  </si>
  <si>
    <t xml:space="preserve">5cbd31b7c445af0004739bec </t>
  </si>
  <si>
    <t xml:space="preserve">5cc66e378820160004a4c3c5 </t>
  </si>
  <si>
    <t xml:space="preserve">5cbd31b7c445af0004739bed </t>
  </si>
  <si>
    <t xml:space="preserve">5cc66e378820160004a4c3c6 </t>
  </si>
  <si>
    <t xml:space="preserve">5cbd31b7c445af0004739bee </t>
  </si>
  <si>
    <t xml:space="preserve">5cc66e378820160004a4c3c7 </t>
  </si>
  <si>
    <t xml:space="preserve">5cbd31b7c445af0004739bef </t>
  </si>
  <si>
    <t xml:space="preserve">5cc66e378820160004a4c3c8 </t>
  </si>
  <si>
    <t xml:space="preserve">5cbd31b7c445af0004739bf0 </t>
  </si>
  <si>
    <t xml:space="preserve">5cc66e378820160004a4c3c9 </t>
  </si>
  <si>
    <t xml:space="preserve">FORMATO</t>
  </si>
  <si>
    <t xml:space="preserve">//  {"sku":"1", "costo":290, "grupo":"1", "lote":1, "tiempo":180, "formula":null, "vencimiento":60},
 // {"sku":"40", "costo":412, "grupo":"4", "lote":1, "tiempo":60, "formula":[{"sku":"38", "req":190}],"vencimiento":320},</t>
  </si>
  <si>
    <t xml:space="preserve">GRUPO </t>
  </si>
  <si>
    <t xml:space="preserve">GRUPO</t>
  </si>
  <si>
    <t xml:space="preserve">Costo</t>
  </si>
  <si>
    <t xml:space="preserve">Lote</t>
  </si>
  <si>
    <t xml:space="preserve">Tiempo</t>
  </si>
  <si>
    <t xml:space="preserve">Formula</t>
  </si>
  <si>
    <t xml:space="preserve">Vencimiento</t>
  </si>
  <si>
    <t xml:space="preserve">Tipo</t>
  </si>
  <si>
    <t xml:space="preserve">Precio</t>
  </si>
  <si>
    <t xml:space="preserve">JSON</t>
  </si>
  <si>
    <t xml:space="preserve">GRUPO 1</t>
  </si>
  <si>
    <t xml:space="preserve">Productos!$O$2:$O</t>
  </si>
  <si>
    <t xml:space="preserve">GRUPO 2</t>
  </si>
  <si>
    <t xml:space="preserve">Productos!p2:p</t>
  </si>
  <si>
    <t xml:space="preserve">GRUPO 3</t>
  </si>
  <si>
    <t xml:space="preserve">Productos!q2:q</t>
  </si>
  <si>
    <t xml:space="preserve">GRUPO 4</t>
  </si>
  <si>
    <t xml:space="preserve">Productos!r2:r</t>
  </si>
  <si>
    <t xml:space="preserve">GRUPO 5</t>
  </si>
  <si>
    <t xml:space="preserve">Productos!s2:s</t>
  </si>
  <si>
    <t xml:space="preserve">GRUPO 6</t>
  </si>
  <si>
    <t xml:space="preserve">Productos!t2:t</t>
  </si>
  <si>
    <t xml:space="preserve">GRUPO 7</t>
  </si>
  <si>
    <t xml:space="preserve">Productos!u2:u</t>
  </si>
  <si>
    <t xml:space="preserve">GRUPO 8</t>
  </si>
  <si>
    <t xml:space="preserve">Productos!v2:v</t>
  </si>
  <si>
    <t xml:space="preserve">GRUPO 9</t>
  </si>
  <si>
    <t xml:space="preserve">Productos!w2:w</t>
  </si>
  <si>
    <t xml:space="preserve">GRUPO 10</t>
  </si>
  <si>
    <t xml:space="preserve">Productos!x2:x</t>
  </si>
  <si>
    <t xml:space="preserve">GRUPO 11</t>
  </si>
  <si>
    <t xml:space="preserve">Productos!y2:y</t>
  </si>
  <si>
    <t xml:space="preserve">GRUPO 12</t>
  </si>
  <si>
    <t xml:space="preserve">Productos!z2:z</t>
  </si>
  <si>
    <t xml:space="preserve">GRUPO 13</t>
  </si>
  <si>
    <t xml:space="preserve">Productos!aa2:aa</t>
  </si>
  <si>
    <t xml:space="preserve">GRUPO 14</t>
  </si>
  <si>
    <t xml:space="preserve">Productos!ab2:ab</t>
  </si>
  <si>
    <t xml:space="preserve">json</t>
  </si>
  <si>
    <t xml:space="preserve">SKU INGREDIENTE</t>
  </si>
  <si>
    <t xml:space="preserve">UNIDADES POR LOTE INGREDIENTE</t>
  </si>
</sst>
</file>

<file path=xl/styles.xml><?xml version="1.0" encoding="utf-8"?>
<styleSheet xmlns="http://schemas.openxmlformats.org/spreadsheetml/2006/main">
  <numFmts count="5">
    <numFmt numFmtId="164" formatCode="General"/>
    <numFmt numFmtId="165" formatCode="\$#,##0"/>
    <numFmt numFmtId="166" formatCode="0.0000"/>
    <numFmt numFmtId="167" formatCode="0"/>
    <numFmt numFmtId="168" formatCode="0.00"/>
  </numFmts>
  <fonts count="13">
    <font>
      <sz val="10"/>
      <color rgb="FF000000"/>
      <name val="Arial"/>
      <family val="0"/>
      <charset val="1"/>
    </font>
    <font>
      <sz val="10"/>
      <name val="Arial"/>
      <family val="0"/>
    </font>
    <font>
      <sz val="10"/>
      <name val="Arial"/>
      <family val="0"/>
    </font>
    <font>
      <sz val="10"/>
      <name val="Arial"/>
      <family val="0"/>
    </font>
    <font>
      <b val="true"/>
      <sz val="10"/>
      <name val="Nunito"/>
      <family val="0"/>
      <charset val="1"/>
    </font>
    <font>
      <b val="true"/>
      <sz val="8"/>
      <name val="Nunito"/>
      <family val="0"/>
      <charset val="1"/>
    </font>
    <font>
      <sz val="10"/>
      <name val="Nunito"/>
      <family val="0"/>
      <charset val="1"/>
    </font>
    <font>
      <sz val="7"/>
      <name val="Nunito"/>
      <family val="0"/>
      <charset val="1"/>
    </font>
    <font>
      <sz val="8"/>
      <name val="Nunito"/>
      <family val="0"/>
      <charset val="1"/>
    </font>
    <font>
      <sz val="10"/>
      <name val="Arial"/>
      <family val="0"/>
      <charset val="1"/>
    </font>
    <font>
      <sz val="11"/>
      <color rgb="FF333542"/>
      <name val="ProximaNova"/>
      <family val="0"/>
      <charset val="1"/>
    </font>
    <font>
      <b val="true"/>
      <sz val="10"/>
      <name val="Arial"/>
      <family val="0"/>
      <charset val="1"/>
    </font>
    <font>
      <sz val="11"/>
      <color rgb="FF7E3794"/>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false">
      <alignment horizontal="general" vertical="center" textRotation="0" wrapText="false" indent="0" shrinkToFit="false"/>
      <protection locked="true" hidden="false"/>
    </xf>
    <xf numFmtId="168" fontId="6"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7"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E3794"/>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54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61" activePane="bottomRight" state="frozen"/>
      <selection pane="topLeft" activeCell="A1" activeCellId="0" sqref="A1"/>
      <selection pane="topRight" activeCell="C1" activeCellId="0" sqref="C1"/>
      <selection pane="bottomLeft" activeCell="A61" activeCellId="0" sqref="A61"/>
      <selection pane="bottomRight" activeCell="F23" activeCellId="0" sqref="F23"/>
    </sheetView>
  </sheetViews>
  <sheetFormatPr defaultRowHeight="15.75" zeroHeight="false" outlineLevelRow="0" outlineLevelCol="0"/>
  <cols>
    <col collapsed="false" customWidth="true" hidden="false" outlineLevel="0" max="1" min="1" style="0" width="9.51"/>
    <col collapsed="false" customWidth="true" hidden="false" outlineLevel="0" max="2" min="2" style="0" width="29.66"/>
    <col collapsed="false" customWidth="true" hidden="false" outlineLevel="0" max="3" min="3" style="0" width="22.01"/>
    <col collapsed="false" customWidth="true" hidden="false" outlineLevel="0" max="5" min="4" style="0" width="10.84"/>
    <col collapsed="false" customWidth="true" hidden="false" outlineLevel="0" max="6" min="6" style="0" width="14.66"/>
    <col collapsed="false" customWidth="true" hidden="false" outlineLevel="0" max="7" min="7" style="0" width="9.51"/>
    <col collapsed="false" customWidth="true" hidden="false" outlineLevel="0" max="8" min="8" style="0" width="11.84"/>
    <col collapsed="false" customWidth="true" hidden="false" outlineLevel="0" max="9" min="9" style="0" width="15.34"/>
    <col collapsed="false" customWidth="true" hidden="false" outlineLevel="0" max="10" min="10" style="0" width="10.33"/>
    <col collapsed="false" customWidth="true" hidden="false" outlineLevel="0" max="11" min="11" style="0" width="13.5"/>
    <col collapsed="false" customWidth="true" hidden="false" outlineLevel="0" max="14" min="12" style="0" width="14.5"/>
    <col collapsed="false" customWidth="true" hidden="true" outlineLevel="0" max="28" min="15" style="0" width="6.83"/>
    <col collapsed="false" customWidth="true" hidden="false" outlineLevel="0" max="1025" min="29" style="0" width="14.5"/>
  </cols>
  <sheetData>
    <row r="1" customFormat="false" ht="15.75" hidden="false" customHeight="true" outlineLevel="0" collapsed="false">
      <c r="A1" s="1" t="s">
        <v>0</v>
      </c>
      <c r="B1" s="1" t="s">
        <v>1</v>
      </c>
      <c r="C1" s="1" t="s">
        <v>2</v>
      </c>
      <c r="D1" s="1" t="s">
        <v>3</v>
      </c>
      <c r="E1" s="1" t="s">
        <v>4</v>
      </c>
      <c r="F1" s="2" t="s">
        <v>5</v>
      </c>
      <c r="G1" s="2" t="s">
        <v>6</v>
      </c>
      <c r="H1" s="2" t="s">
        <v>7</v>
      </c>
      <c r="I1" s="1" t="s">
        <v>8</v>
      </c>
      <c r="J1" s="1" t="s">
        <v>9</v>
      </c>
      <c r="K1" s="2" t="s">
        <v>10</v>
      </c>
      <c r="L1" s="2" t="s">
        <v>11</v>
      </c>
      <c r="M1" s="1" t="s">
        <v>12</v>
      </c>
      <c r="N1" s="1" t="s">
        <v>13</v>
      </c>
      <c r="O1" s="3" t="n">
        <v>1</v>
      </c>
      <c r="P1" s="3" t="n">
        <v>2</v>
      </c>
      <c r="Q1" s="3" t="n">
        <v>3</v>
      </c>
      <c r="R1" s="3" t="n">
        <v>4</v>
      </c>
      <c r="S1" s="3" t="n">
        <v>5</v>
      </c>
      <c r="T1" s="3" t="n">
        <v>6</v>
      </c>
      <c r="U1" s="3" t="n">
        <v>7</v>
      </c>
      <c r="V1" s="3" t="n">
        <v>8</v>
      </c>
      <c r="W1" s="3" t="n">
        <v>9</v>
      </c>
      <c r="X1" s="3" t="n">
        <v>10</v>
      </c>
      <c r="Y1" s="3" t="n">
        <v>11</v>
      </c>
      <c r="Z1" s="3" t="n">
        <v>12</v>
      </c>
      <c r="AA1" s="3" t="n">
        <v>13</v>
      </c>
      <c r="AB1" s="3" t="n">
        <v>14</v>
      </c>
      <c r="AC1" s="1" t="s">
        <v>14</v>
      </c>
    </row>
    <row r="2" customFormat="false" ht="15.75" hidden="false" customHeight="true" outlineLevel="0" collapsed="false">
      <c r="A2" s="4" t="n">
        <v>1001</v>
      </c>
      <c r="B2" s="4" t="s">
        <v>15</v>
      </c>
      <c r="C2" s="5" t="s">
        <v>16</v>
      </c>
      <c r="D2" s="6" t="n">
        <v>3000</v>
      </c>
      <c r="E2" s="6"/>
      <c r="F2" s="7" t="n">
        <f aca="false">IFERROR(__xludf.dummyfunction("COUNT(FILTER(Ingredientes!A:A,Ingredientes!A:A=A2))"),0)</f>
        <v>0</v>
      </c>
      <c r="G2" s="7" t="n">
        <f aca="false">IFERROR(__xludf.dummyfunction("COUNT(FILTER(Ingredientes!A:A,Ingredientes!C:C=A2))"),1)</f>
        <v>1</v>
      </c>
      <c r="H2" s="7" t="n">
        <f aca="false">30*24</f>
        <v>720</v>
      </c>
      <c r="I2" s="4" t="n">
        <v>1</v>
      </c>
      <c r="J2" s="4" t="s">
        <v>17</v>
      </c>
      <c r="K2" s="7" t="n">
        <v>10</v>
      </c>
      <c r="L2" s="7" t="n">
        <v>240</v>
      </c>
      <c r="M2" s="8" t="str">
        <f aca="false">IFERROR(__xludf.dummyfunction("JOIN("","", iferror(filter('Asignación'!C:C,'Asignación'!A:A=A2),{1,2,3,4,5,6,7,8,9,10,11,12,13,14}))"),"1,2,3,4,5,6,7,8,9,10,11,12,13,14")</f>
        <v>1,2,3,4,5,6,7,8,9,10,11,12,13,14</v>
      </c>
      <c r="N2" s="4" t="n">
        <f aca="false">IFERROR(__xludf.dummyfunction("countunique(iferror(filter('Asignación'!C:C,'Asignación'!A:A=A2),{1,2,3,4,5,6,7,8,9,10,11,12,13,14}))"),14)</f>
        <v>14</v>
      </c>
      <c r="O2" s="9" t="n">
        <f aca="false">IFERROR(__xludf.dummyfunction("iferror(match(O$1,SPLIT($M2,"",""),0)&gt;0,false)"),1)</f>
        <v>1</v>
      </c>
      <c r="P2" s="9" t="n">
        <f aca="false">IFERROR(__xludf.dummyfunction("iferror(match(O$1,SPLIT($M2,"",""),0)&gt;0,false)"),1)</f>
        <v>1</v>
      </c>
      <c r="Q2" s="9" t="n">
        <f aca="false">IFERROR(__xludf.dummyfunction("iferror(match(O$1,SPLIT($M2,"",""),0)&gt;0,false)"),1)</f>
        <v>1</v>
      </c>
      <c r="R2" s="9" t="n">
        <f aca="false">IFERROR(__xludf.dummyfunction("iferror(match(O$1,SPLIT($M2,"",""),0)&gt;0,false)"),1)</f>
        <v>1</v>
      </c>
      <c r="S2" s="9" t="n">
        <f aca="false">IFERROR(__xludf.dummyfunction("iferror(match(O$1,SPLIT($M2,"",""),0)&gt;0,false)"),1)</f>
        <v>1</v>
      </c>
      <c r="T2" s="9" t="n">
        <f aca="false">IFERROR(__xludf.dummyfunction("iferror(match(O$1,SPLIT($M2,"",""),0)&gt;0,false)"),1)</f>
        <v>1</v>
      </c>
      <c r="U2" s="9" t="n">
        <f aca="false">IFERROR(__xludf.dummyfunction("iferror(match(O$1,SPLIT($M2,"",""),0)&gt;0,false)"),1)</f>
        <v>1</v>
      </c>
      <c r="V2" s="9" t="n">
        <f aca="false">IFERROR(__xludf.dummyfunction("iferror(match(O$1,SPLIT($M2,"",""),0)&gt;0,false)"),1)</f>
        <v>1</v>
      </c>
      <c r="W2" s="9" t="n">
        <f aca="false">IFERROR(__xludf.dummyfunction("iferror(match(O$1,SPLIT($M2,"",""),0)&gt;0,false)"),1)</f>
        <v>1</v>
      </c>
      <c r="X2" s="9" t="n">
        <f aca="false">IFERROR(__xludf.dummyfunction("iferror(match(O$1,SPLIT($M2,"",""),0)&gt;0,false)"),1)</f>
        <v>1</v>
      </c>
      <c r="Y2" s="9" t="n">
        <f aca="false">IFERROR(__xludf.dummyfunction("iferror(match(O$1,SPLIT($M2,"",""),0)&gt;0,false)"),1)</f>
        <v>1</v>
      </c>
      <c r="Z2" s="9" t="n">
        <f aca="false">IFERROR(__xludf.dummyfunction("iferror(match(O$1,SPLIT($M2,"",""),0)&gt;0,false)"),1)</f>
        <v>1</v>
      </c>
      <c r="AA2" s="9" t="n">
        <f aca="false">IFERROR(__xludf.dummyfunction("iferror(match(O$1,SPLIT($M2,"",""),0)&gt;0,false)"),1)</f>
        <v>1</v>
      </c>
      <c r="AB2" s="9" t="n">
        <f aca="false">IFERROR(__xludf.dummyfunction("iferror(match(O$1,SPLIT($M2,"",""),0)&gt;0,false)"),1)</f>
        <v>1</v>
      </c>
      <c r="AC2" s="4" t="s">
        <v>18</v>
      </c>
    </row>
    <row r="3" customFormat="false" ht="15.75" hidden="false" customHeight="true" outlineLevel="0" collapsed="false">
      <c r="A3" s="4" t="n">
        <v>1002</v>
      </c>
      <c r="B3" s="4" t="s">
        <v>19</v>
      </c>
      <c r="C3" s="5"/>
      <c r="D3" s="6" t="n">
        <v>4590</v>
      </c>
      <c r="E3" s="6"/>
      <c r="F3" s="7" t="n">
        <f aca="false">IFERROR(__xludf.dummyfunction("COUNT(FILTER(Ingredientes!A:A,Ingredientes!A:A=A3))"),0)</f>
        <v>0</v>
      </c>
      <c r="G3" s="7" t="n">
        <f aca="false">IFERROR(__xludf.dummyfunction("COUNT(FILTER(Ingredientes!A:A,Ingredientes!C:C=A3))"),1)</f>
        <v>1</v>
      </c>
      <c r="H3" s="7" t="n">
        <f aca="false">30*24</f>
        <v>720</v>
      </c>
      <c r="I3" s="4" t="n">
        <v>1</v>
      </c>
      <c r="J3" s="4" t="s">
        <v>20</v>
      </c>
      <c r="K3" s="7" t="n">
        <v>10</v>
      </c>
      <c r="L3" s="7" t="n">
        <v>300</v>
      </c>
      <c r="M3" s="8" t="str">
        <f aca="false">IFERROR(__xludf.dummyfunction("JOIN("","", iferror(filter('Asignación'!C:C,'Asignación'!A:A=A3),{1,2,3,4,5,6,7,8,9,10,11,12,13,14}))"),"1,2,3,6,8,9")</f>
        <v>1,2,3,6,8,9</v>
      </c>
      <c r="N3" s="4" t="n">
        <f aca="false">IFERROR(__xludf.dummyfunction("countunique(iferror(filter('Asignación'!C:C,'Asignación'!A:A=A3),{1,2,3,4,5,6,7,8,9,10,11,12,13,14}))"),6)</f>
        <v>6</v>
      </c>
      <c r="O3" s="9" t="n">
        <f aca="false">IFERROR(__xludf.dummyfunction("iferror(match(O$1,SPLIT($M3,"",""),0)&gt;0,false)"),1)</f>
        <v>1</v>
      </c>
      <c r="P3" s="9" t="n">
        <f aca="false">IFERROR(__xludf.dummyfunction("iferror(match(O$1,SPLIT($M3,"",""),0)&gt;0,false)"),1)</f>
        <v>1</v>
      </c>
      <c r="Q3" s="9" t="n">
        <f aca="false">IFERROR(__xludf.dummyfunction("iferror(match(O$1,SPLIT($M3,"",""),0)&gt;0,false)"),1)</f>
        <v>1</v>
      </c>
      <c r="R3" s="9" t="n">
        <f aca="false">IFERROR(__xludf.dummyfunction("iferror(match(O$1,SPLIT($M3,"",""),0)&gt;0,false)"),1)</f>
        <v>1</v>
      </c>
      <c r="S3" s="9" t="n">
        <f aca="false">IFERROR(__xludf.dummyfunction("iferror(match(O$1,SPLIT($M3,"",""),0)&gt;0,false)"),1)</f>
        <v>1</v>
      </c>
      <c r="T3" s="9" t="n">
        <f aca="false">IFERROR(__xludf.dummyfunction("iferror(match(O$1,SPLIT($M3,"",""),0)&gt;0,false)"),1)</f>
        <v>1</v>
      </c>
      <c r="U3" s="9" t="n">
        <f aca="false">IFERROR(__xludf.dummyfunction("iferror(match(O$1,SPLIT($M3,"",""),0)&gt;0,false)"),1)</f>
        <v>1</v>
      </c>
      <c r="V3" s="9" t="n">
        <f aca="false">IFERROR(__xludf.dummyfunction("iferror(match(O$1,SPLIT($M3,"",""),0)&gt;0,false)"),1)</f>
        <v>1</v>
      </c>
      <c r="W3" s="9" t="n">
        <f aca="false">IFERROR(__xludf.dummyfunction("iferror(match(O$1,SPLIT($M3,"",""),0)&gt;0,false)"),1)</f>
        <v>1</v>
      </c>
      <c r="X3" s="9" t="n">
        <f aca="false">IFERROR(__xludf.dummyfunction("iferror(match(O$1,SPLIT($M3,"",""),0)&gt;0,false)"),1)</f>
        <v>1</v>
      </c>
      <c r="Y3" s="9" t="n">
        <f aca="false">IFERROR(__xludf.dummyfunction("iferror(match(O$1,SPLIT($M3,"",""),0)&gt;0,false)"),1)</f>
        <v>1</v>
      </c>
      <c r="Z3" s="9" t="n">
        <f aca="false">IFERROR(__xludf.dummyfunction("iferror(match(O$1,SPLIT($M3,"",""),0)&gt;0,false)"),1)</f>
        <v>1</v>
      </c>
      <c r="AA3" s="9" t="n">
        <f aca="false">IFERROR(__xludf.dummyfunction("iferror(match(O$1,SPLIT($M3,"",""),0)&gt;0,false)"),1)</f>
        <v>1</v>
      </c>
      <c r="AB3" s="9" t="n">
        <f aca="false">IFERROR(__xludf.dummyfunction("iferror(match(O$1,SPLIT($M3,"",""),0)&gt;0,false)"),1)</f>
        <v>1</v>
      </c>
      <c r="AC3" s="4" t="s">
        <v>18</v>
      </c>
    </row>
    <row r="4" customFormat="false" ht="15.75" hidden="false" customHeight="true" outlineLevel="0" collapsed="false">
      <c r="A4" s="4" t="n">
        <v>1003</v>
      </c>
      <c r="B4" s="4" t="s">
        <v>21</v>
      </c>
      <c r="C4" s="5" t="s">
        <v>22</v>
      </c>
      <c r="D4" s="6" t="n">
        <v>1290</v>
      </c>
      <c r="E4" s="6"/>
      <c r="F4" s="7" t="n">
        <f aca="false">IFERROR(__xludf.dummyfunction("COUNT(FILTER(Ingredientes!A:A,Ingredientes!A:A=A4))"),0)</f>
        <v>0</v>
      </c>
      <c r="G4" s="7" t="n">
        <f aca="false">IFERROR(__xludf.dummyfunction("COUNT(FILTER(Ingredientes!A:A,Ingredientes!C:C=A4))"),1)</f>
        <v>1</v>
      </c>
      <c r="H4" s="7" t="n">
        <f aca="false">30*24</f>
        <v>720</v>
      </c>
      <c r="I4" s="4" t="n">
        <v>0.1</v>
      </c>
      <c r="J4" s="4" t="s">
        <v>17</v>
      </c>
      <c r="K4" s="7" t="n">
        <v>100</v>
      </c>
      <c r="L4" s="7" t="n">
        <v>320</v>
      </c>
      <c r="M4" s="8" t="str">
        <f aca="false">IFERROR(__xludf.dummyfunction("JOIN("","", iferror(filter('Asignación'!C:C,'Asignación'!A:A=A4),{1,2,3,4,5,6,7,8,9,10,11,12,13,14}))"),"6,7,8,11,12,13")</f>
        <v>6,7,8,11,12,13</v>
      </c>
      <c r="N4" s="4" t="n">
        <f aca="false">IFERROR(__xludf.dummyfunction("countunique(iferror(filter('Asignación'!C:C,'Asignación'!A:A=A4),{1,2,3,4,5,6,7,8,9,10,11,12,13,14}))"),6)</f>
        <v>6</v>
      </c>
      <c r="O4" s="9" t="n">
        <f aca="false">IFERROR(__xludf.dummyfunction("iferror(match(O$1,SPLIT($M4,"",""),0)&gt;0,false)"),0)</f>
        <v>0</v>
      </c>
      <c r="P4" s="9" t="n">
        <f aca="false">IFERROR(__xludf.dummyfunction("iferror(match(O$1,SPLIT($M4,"",""),0)&gt;0,false)"),0)</f>
        <v>0</v>
      </c>
      <c r="Q4" s="9" t="n">
        <f aca="false">IFERROR(__xludf.dummyfunction("iferror(match(O$1,SPLIT($M4,"",""),0)&gt;0,false)"),0)</f>
        <v>0</v>
      </c>
      <c r="R4" s="9" t="n">
        <f aca="false">IFERROR(__xludf.dummyfunction("iferror(match(O$1,SPLIT($M4,"",""),0)&gt;0,false)"),0)</f>
        <v>0</v>
      </c>
      <c r="S4" s="9" t="n">
        <f aca="false">IFERROR(__xludf.dummyfunction("iferror(match(O$1,SPLIT($M4,"",""),0)&gt;0,false)"),0)</f>
        <v>0</v>
      </c>
      <c r="T4" s="9" t="n">
        <f aca="false">IFERROR(__xludf.dummyfunction("iferror(match(O$1,SPLIT($M4,"",""),0)&gt;0,false)"),0)</f>
        <v>0</v>
      </c>
      <c r="U4" s="9" t="n">
        <f aca="false">IFERROR(__xludf.dummyfunction("iferror(match(O$1,SPLIT($M4,"",""),0)&gt;0,false)"),0)</f>
        <v>0</v>
      </c>
      <c r="V4" s="9" t="n">
        <f aca="false">IFERROR(__xludf.dummyfunction("iferror(match(O$1,SPLIT($M4,"",""),0)&gt;0,false)"),0)</f>
        <v>0</v>
      </c>
      <c r="W4" s="9" t="n">
        <f aca="false">IFERROR(__xludf.dummyfunction("iferror(match(O$1,SPLIT($M4,"",""),0)&gt;0,false)"),0)</f>
        <v>0</v>
      </c>
      <c r="X4" s="9" t="n">
        <f aca="false">IFERROR(__xludf.dummyfunction("iferror(match(O$1,SPLIT($M4,"",""),0)&gt;0,false)"),0)</f>
        <v>0</v>
      </c>
      <c r="Y4" s="9" t="n">
        <f aca="false">IFERROR(__xludf.dummyfunction("iferror(match(O$1,SPLIT($M4,"",""),0)&gt;0,false)"),0)</f>
        <v>0</v>
      </c>
      <c r="Z4" s="9" t="n">
        <f aca="false">IFERROR(__xludf.dummyfunction("iferror(match(O$1,SPLIT($M4,"",""),0)&gt;0,false)"),0)</f>
        <v>0</v>
      </c>
      <c r="AA4" s="9" t="n">
        <f aca="false">IFERROR(__xludf.dummyfunction("iferror(match(O$1,SPLIT($M4,"",""),0)&gt;0,false)"),0)</f>
        <v>0</v>
      </c>
      <c r="AB4" s="9" t="n">
        <f aca="false">IFERROR(__xludf.dummyfunction("iferror(match(O$1,SPLIT($M4,"",""),0)&gt;0,false)"),0)</f>
        <v>0</v>
      </c>
      <c r="AC4" s="4" t="s">
        <v>18</v>
      </c>
    </row>
    <row r="5" customFormat="false" ht="15.75" hidden="false" customHeight="true" outlineLevel="0" collapsed="false">
      <c r="A5" s="4" t="n">
        <v>1004</v>
      </c>
      <c r="B5" s="4" t="s">
        <v>23</v>
      </c>
      <c r="C5" s="5" t="s">
        <v>24</v>
      </c>
      <c r="D5" s="6" t="n">
        <v>2190</v>
      </c>
      <c r="E5" s="6"/>
      <c r="F5" s="7" t="n">
        <f aca="false">IFERROR(__xludf.dummyfunction("COUNT(FILTER(Ingredientes!A:A,Ingredientes!A:A=A5))"),0)</f>
        <v>0</v>
      </c>
      <c r="G5" s="7" t="n">
        <f aca="false">IFERROR(__xludf.dummyfunction("COUNT(FILTER(Ingredientes!A:A,Ingredientes!C:C=A5))"),1)</f>
        <v>1</v>
      </c>
      <c r="H5" s="7" t="n">
        <f aca="false">30*24</f>
        <v>720</v>
      </c>
      <c r="I5" s="4" t="n">
        <v>0.1</v>
      </c>
      <c r="J5" s="4" t="s">
        <v>17</v>
      </c>
      <c r="K5" s="7" t="n">
        <v>100</v>
      </c>
      <c r="L5" s="7" t="n">
        <v>400</v>
      </c>
      <c r="M5" s="8" t="str">
        <f aca="false">IFERROR(__xludf.dummyfunction("JOIN("","", iferror(filter('Asignación'!C:C,'Asignación'!A:A=A5),{1,2,3,4,5,6,7,8,9,10,11,12,13,14}))"),"3,4,9,10,13,14")</f>
        <v>3,4,9,10,13,14</v>
      </c>
      <c r="N5" s="4" t="n">
        <f aca="false">IFERROR(__xludf.dummyfunction("countunique(iferror(filter('Asignación'!C:C,'Asignación'!A:A=A5),{1,2,3,4,5,6,7,8,9,10,11,12,13,14}))"),6)</f>
        <v>6</v>
      </c>
      <c r="O5" s="9" t="n">
        <f aca="false">IFERROR(__xludf.dummyfunction("iferror(match(O$1,SPLIT($M5,"",""),0)&gt;0,false)"),0)</f>
        <v>0</v>
      </c>
      <c r="P5" s="9" t="n">
        <f aca="false">IFERROR(__xludf.dummyfunction("iferror(match(O$1,SPLIT($M5,"",""),0)&gt;0,false)"),0)</f>
        <v>0</v>
      </c>
      <c r="Q5" s="9" t="n">
        <f aca="false">IFERROR(__xludf.dummyfunction("iferror(match(O$1,SPLIT($M5,"",""),0)&gt;0,false)"),0)</f>
        <v>0</v>
      </c>
      <c r="R5" s="9" t="n">
        <f aca="false">IFERROR(__xludf.dummyfunction("iferror(match(O$1,SPLIT($M5,"",""),0)&gt;0,false)"),0)</f>
        <v>0</v>
      </c>
      <c r="S5" s="9" t="n">
        <f aca="false">IFERROR(__xludf.dummyfunction("iferror(match(O$1,SPLIT($M5,"",""),0)&gt;0,false)"),0)</f>
        <v>0</v>
      </c>
      <c r="T5" s="9" t="n">
        <f aca="false">IFERROR(__xludf.dummyfunction("iferror(match(O$1,SPLIT($M5,"",""),0)&gt;0,false)"),0)</f>
        <v>0</v>
      </c>
      <c r="U5" s="9" t="n">
        <f aca="false">IFERROR(__xludf.dummyfunction("iferror(match(O$1,SPLIT($M5,"",""),0)&gt;0,false)"),0)</f>
        <v>0</v>
      </c>
      <c r="V5" s="9" t="n">
        <f aca="false">IFERROR(__xludf.dummyfunction("iferror(match(O$1,SPLIT($M5,"",""),0)&gt;0,false)"),0)</f>
        <v>0</v>
      </c>
      <c r="W5" s="9" t="n">
        <f aca="false">IFERROR(__xludf.dummyfunction("iferror(match(O$1,SPLIT($M5,"",""),0)&gt;0,false)"),0)</f>
        <v>0</v>
      </c>
      <c r="X5" s="9" t="n">
        <f aca="false">IFERROR(__xludf.dummyfunction("iferror(match(O$1,SPLIT($M5,"",""),0)&gt;0,false)"),0)</f>
        <v>0</v>
      </c>
      <c r="Y5" s="9" t="n">
        <f aca="false">IFERROR(__xludf.dummyfunction("iferror(match(O$1,SPLIT($M5,"",""),0)&gt;0,false)"),0)</f>
        <v>0</v>
      </c>
      <c r="Z5" s="9" t="n">
        <f aca="false">IFERROR(__xludf.dummyfunction("iferror(match(O$1,SPLIT($M5,"",""),0)&gt;0,false)"),0)</f>
        <v>0</v>
      </c>
      <c r="AA5" s="9" t="n">
        <f aca="false">IFERROR(__xludf.dummyfunction("iferror(match(O$1,SPLIT($M5,"",""),0)&gt;0,false)"),0)</f>
        <v>0</v>
      </c>
      <c r="AB5" s="9" t="n">
        <f aca="false">IFERROR(__xludf.dummyfunction("iferror(match(O$1,SPLIT($M5,"",""),0)&gt;0,false)"),0)</f>
        <v>0</v>
      </c>
      <c r="AC5" s="4" t="s">
        <v>18</v>
      </c>
    </row>
    <row r="6" customFormat="false" ht="15.75" hidden="false" customHeight="true" outlineLevel="0" collapsed="false">
      <c r="A6" s="4" t="n">
        <v>1005</v>
      </c>
      <c r="B6" s="4" t="s">
        <v>25</v>
      </c>
      <c r="C6" s="5"/>
      <c r="D6" s="6" t="n">
        <v>9990</v>
      </c>
      <c r="E6" s="6"/>
      <c r="F6" s="7" t="n">
        <f aca="false">IFERROR(__xludf.dummyfunction("COUNT(FILTER(Ingredientes!A:A,Ingredientes!A:A=A6))"),0)</f>
        <v>0</v>
      </c>
      <c r="G6" s="7" t="n">
        <f aca="false">IFERROR(__xludf.dummyfunction("COUNT(FILTER(Ingredientes!A:A,Ingredientes!C:C=A6))"),1)</f>
        <v>1</v>
      </c>
      <c r="H6" s="7" t="n">
        <v>24</v>
      </c>
      <c r="I6" s="4" t="n">
        <v>1</v>
      </c>
      <c r="J6" s="4" t="s">
        <v>17</v>
      </c>
      <c r="K6" s="7" t="n">
        <v>5</v>
      </c>
      <c r="L6" s="7" t="n">
        <v>260</v>
      </c>
      <c r="M6" s="8" t="str">
        <f aca="false">IFERROR(__xludf.dummyfunction("JOIN("","", iferror(filter('Asignación'!C:C,'Asignación'!A:A=A6),{1,2,3,4,5,6,7,8,9,10,11,12,13,14}))"),"1,4,5,6,8,12")</f>
        <v>1,4,5,6,8,12</v>
      </c>
      <c r="N6" s="4" t="n">
        <f aca="false">IFERROR(__xludf.dummyfunction("countunique(iferror(filter('Asignación'!C:C,'Asignación'!A:A=A6),{1,2,3,4,5,6,7,8,9,10,11,12,13,14}))"),6)</f>
        <v>6</v>
      </c>
      <c r="O6" s="9" t="n">
        <f aca="false">IFERROR(__xludf.dummyfunction("iferror(match(O$1,SPLIT($M6,"",""),0)&gt;0,false)"),1)</f>
        <v>1</v>
      </c>
      <c r="P6" s="9" t="n">
        <f aca="false">IFERROR(__xludf.dummyfunction("iferror(match(O$1,SPLIT($M6,"",""),0)&gt;0,false)"),1)</f>
        <v>1</v>
      </c>
      <c r="Q6" s="9" t="n">
        <f aca="false">IFERROR(__xludf.dummyfunction("iferror(match(O$1,SPLIT($M6,"",""),0)&gt;0,false)"),1)</f>
        <v>1</v>
      </c>
      <c r="R6" s="9" t="n">
        <f aca="false">IFERROR(__xludf.dummyfunction("iferror(match(O$1,SPLIT($M6,"",""),0)&gt;0,false)"),1)</f>
        <v>1</v>
      </c>
      <c r="S6" s="9" t="n">
        <f aca="false">IFERROR(__xludf.dummyfunction("iferror(match(O$1,SPLIT($M6,"",""),0)&gt;0,false)"),1)</f>
        <v>1</v>
      </c>
      <c r="T6" s="9" t="n">
        <f aca="false">IFERROR(__xludf.dummyfunction("iferror(match(O$1,SPLIT($M6,"",""),0)&gt;0,false)"),1)</f>
        <v>1</v>
      </c>
      <c r="U6" s="9" t="n">
        <f aca="false">IFERROR(__xludf.dummyfunction("iferror(match(O$1,SPLIT($M6,"",""),0)&gt;0,false)"),1)</f>
        <v>1</v>
      </c>
      <c r="V6" s="9" t="n">
        <f aca="false">IFERROR(__xludf.dummyfunction("iferror(match(O$1,SPLIT($M6,"",""),0)&gt;0,false)"),1)</f>
        <v>1</v>
      </c>
      <c r="W6" s="9" t="n">
        <f aca="false">IFERROR(__xludf.dummyfunction("iferror(match(O$1,SPLIT($M6,"",""),0)&gt;0,false)"),1)</f>
        <v>1</v>
      </c>
      <c r="X6" s="9" t="n">
        <f aca="false">IFERROR(__xludf.dummyfunction("iferror(match(O$1,SPLIT($M6,"",""),0)&gt;0,false)"),1)</f>
        <v>1</v>
      </c>
      <c r="Y6" s="9" t="n">
        <f aca="false">IFERROR(__xludf.dummyfunction("iferror(match(O$1,SPLIT($M6,"",""),0)&gt;0,false)"),1)</f>
        <v>1</v>
      </c>
      <c r="Z6" s="9" t="n">
        <f aca="false">IFERROR(__xludf.dummyfunction("iferror(match(O$1,SPLIT($M6,"",""),0)&gt;0,false)"),1)</f>
        <v>1</v>
      </c>
      <c r="AA6" s="9" t="n">
        <f aca="false">IFERROR(__xludf.dummyfunction("iferror(match(O$1,SPLIT($M6,"",""),0)&gt;0,false)"),1)</f>
        <v>1</v>
      </c>
      <c r="AB6" s="9" t="n">
        <f aca="false">IFERROR(__xludf.dummyfunction("iferror(match(O$1,SPLIT($M6,"",""),0)&gt;0,false)"),1)</f>
        <v>1</v>
      </c>
      <c r="AC6" s="4" t="s">
        <v>18</v>
      </c>
    </row>
    <row r="7" customFormat="false" ht="15.75" hidden="false" customHeight="true" outlineLevel="0" collapsed="false">
      <c r="A7" s="4" t="n">
        <v>1006</v>
      </c>
      <c r="B7" s="4" t="s">
        <v>26</v>
      </c>
      <c r="C7" s="5" t="s">
        <v>27</v>
      </c>
      <c r="D7" s="6" t="n">
        <v>15990</v>
      </c>
      <c r="E7" s="6"/>
      <c r="F7" s="7" t="n">
        <f aca="false">IFERROR(__xludf.dummyfunction("COUNT(FILTER(Ingredientes!A:A,Ingredientes!A:A=A7))"),0)</f>
        <v>0</v>
      </c>
      <c r="G7" s="7" t="n">
        <f aca="false">IFERROR(__xludf.dummyfunction("COUNT(FILTER(Ingredientes!A:A,Ingredientes!C:C=A7))"),1)</f>
        <v>1</v>
      </c>
      <c r="H7" s="7" t="n">
        <f aca="false">30*24</f>
        <v>720</v>
      </c>
      <c r="I7" s="4" t="n">
        <v>100</v>
      </c>
      <c r="J7" s="4" t="s">
        <v>28</v>
      </c>
      <c r="K7" s="7" t="n">
        <v>1</v>
      </c>
      <c r="L7" s="7" t="n">
        <v>120</v>
      </c>
      <c r="M7" s="8" t="str">
        <f aca="false">IFERROR(__xludf.dummyfunction("JOIN("","", iferror(filter('Asignación'!C:C,'Asignación'!A:A=A7),{1,2,3,4,5,6,7,8,9,10,11,12,13,14}))"),"2,3,4,5,7,8")</f>
        <v>2,3,4,5,7,8</v>
      </c>
      <c r="N7" s="4" t="n">
        <f aca="false">IFERROR(__xludf.dummyfunction("countunique(iferror(filter('Asignación'!C:C,'Asignación'!A:A=A7),{1,2,3,4,5,6,7,8,9,10,11,12,13,14}))"),6)</f>
        <v>6</v>
      </c>
      <c r="O7" s="9" t="n">
        <f aca="false">IFERROR(__xludf.dummyfunction("iferror(match(O$1,SPLIT($M7,"",""),0)&gt;0,false)"),0)</f>
        <v>0</v>
      </c>
      <c r="P7" s="9" t="n">
        <f aca="false">IFERROR(__xludf.dummyfunction("iferror(match(O$1,SPLIT($M7,"",""),0)&gt;0,false)"),0)</f>
        <v>0</v>
      </c>
      <c r="Q7" s="9" t="n">
        <f aca="false">IFERROR(__xludf.dummyfunction("iferror(match(O$1,SPLIT($M7,"",""),0)&gt;0,false)"),0)</f>
        <v>0</v>
      </c>
      <c r="R7" s="9" t="n">
        <f aca="false">IFERROR(__xludf.dummyfunction("iferror(match(O$1,SPLIT($M7,"",""),0)&gt;0,false)"),0)</f>
        <v>0</v>
      </c>
      <c r="S7" s="9" t="n">
        <f aca="false">IFERROR(__xludf.dummyfunction("iferror(match(O$1,SPLIT($M7,"",""),0)&gt;0,false)"),0)</f>
        <v>0</v>
      </c>
      <c r="T7" s="9" t="n">
        <f aca="false">IFERROR(__xludf.dummyfunction("iferror(match(O$1,SPLIT($M7,"",""),0)&gt;0,false)"),0)</f>
        <v>0</v>
      </c>
      <c r="U7" s="9" t="n">
        <f aca="false">IFERROR(__xludf.dummyfunction("iferror(match(O$1,SPLIT($M7,"",""),0)&gt;0,false)"),0)</f>
        <v>0</v>
      </c>
      <c r="V7" s="9" t="n">
        <f aca="false">IFERROR(__xludf.dummyfunction("iferror(match(O$1,SPLIT($M7,"",""),0)&gt;0,false)"),0)</f>
        <v>0</v>
      </c>
      <c r="W7" s="9" t="n">
        <f aca="false">IFERROR(__xludf.dummyfunction("iferror(match(O$1,SPLIT($M7,"",""),0)&gt;0,false)"),0)</f>
        <v>0</v>
      </c>
      <c r="X7" s="9" t="n">
        <f aca="false">IFERROR(__xludf.dummyfunction("iferror(match(O$1,SPLIT($M7,"",""),0)&gt;0,false)"),0)</f>
        <v>0</v>
      </c>
      <c r="Y7" s="9" t="n">
        <f aca="false">IFERROR(__xludf.dummyfunction("iferror(match(O$1,SPLIT($M7,"",""),0)&gt;0,false)"),0)</f>
        <v>0</v>
      </c>
      <c r="Z7" s="9" t="n">
        <f aca="false">IFERROR(__xludf.dummyfunction("iferror(match(O$1,SPLIT($M7,"",""),0)&gt;0,false)"),0)</f>
        <v>0</v>
      </c>
      <c r="AA7" s="9" t="n">
        <f aca="false">IFERROR(__xludf.dummyfunction("iferror(match(O$1,SPLIT($M7,"",""),0)&gt;0,false)"),0)</f>
        <v>0</v>
      </c>
      <c r="AB7" s="9" t="n">
        <f aca="false">IFERROR(__xludf.dummyfunction("iferror(match(O$1,SPLIT($M7,"",""),0)&gt;0,false)"),0)</f>
        <v>0</v>
      </c>
      <c r="AC7" s="4" t="s">
        <v>18</v>
      </c>
    </row>
    <row r="8" customFormat="false" ht="15.75" hidden="false" customHeight="true" outlineLevel="0" collapsed="false">
      <c r="A8" s="4" t="n">
        <v>1007</v>
      </c>
      <c r="B8" s="4" t="s">
        <v>29</v>
      </c>
      <c r="C8" s="5" t="s">
        <v>30</v>
      </c>
      <c r="D8" s="6" t="n">
        <v>32990</v>
      </c>
      <c r="E8" s="6"/>
      <c r="F8" s="7" t="n">
        <f aca="false">IFERROR(__xludf.dummyfunction("COUNT(FILTER(Ingredientes!A:A,Ingredientes!A:A=A8))"),0)</f>
        <v>0</v>
      </c>
      <c r="G8" s="7" t="n">
        <f aca="false">IFERROR(__xludf.dummyfunction("COUNT(FILTER(Ingredientes!A:A,Ingredientes!C:C=A8))"),4)</f>
        <v>4</v>
      </c>
      <c r="H8" s="7" t="n">
        <v>20</v>
      </c>
      <c r="I8" s="4" t="n">
        <v>1</v>
      </c>
      <c r="J8" s="4" t="s">
        <v>17</v>
      </c>
      <c r="K8" s="7" t="n">
        <v>8</v>
      </c>
      <c r="L8" s="7" t="n">
        <v>300</v>
      </c>
      <c r="M8" s="8" t="str">
        <f aca="false">IFERROR(__xludf.dummyfunction("JOIN("","", iferror(filter('Asignación'!C:C,'Asignación'!A:A=A8),{1,2,3,4,5,6,7,8,9,10,11,12,13,14}))"),"5,6,7,10,11,13")</f>
        <v>5,6,7,10,11,13</v>
      </c>
      <c r="N8" s="4" t="n">
        <f aca="false">IFERROR(__xludf.dummyfunction("countunique(iferror(filter('Asignación'!C:C,'Asignación'!A:A=A8),{1,2,3,4,5,6,7,8,9,10,11,12,13,14}))"),6)</f>
        <v>6</v>
      </c>
      <c r="O8" s="9" t="n">
        <f aca="false">IFERROR(__xludf.dummyfunction("iferror(match(O$1,SPLIT($M8,"",""),0)&gt;0,false)"),0)</f>
        <v>0</v>
      </c>
      <c r="P8" s="9" t="n">
        <f aca="false">IFERROR(__xludf.dummyfunction("iferror(match(O$1,SPLIT($M8,"",""),0)&gt;0,false)"),0)</f>
        <v>0</v>
      </c>
      <c r="Q8" s="9" t="n">
        <f aca="false">IFERROR(__xludf.dummyfunction("iferror(match(O$1,SPLIT($M8,"",""),0)&gt;0,false)"),0)</f>
        <v>0</v>
      </c>
      <c r="R8" s="9" t="n">
        <f aca="false">IFERROR(__xludf.dummyfunction("iferror(match(O$1,SPLIT($M8,"",""),0)&gt;0,false)"),0)</f>
        <v>0</v>
      </c>
      <c r="S8" s="9" t="n">
        <f aca="false">IFERROR(__xludf.dummyfunction("iferror(match(O$1,SPLIT($M8,"",""),0)&gt;0,false)"),0)</f>
        <v>0</v>
      </c>
      <c r="T8" s="9" t="n">
        <f aca="false">IFERROR(__xludf.dummyfunction("iferror(match(O$1,SPLIT($M8,"",""),0)&gt;0,false)"),0)</f>
        <v>0</v>
      </c>
      <c r="U8" s="9" t="n">
        <f aca="false">IFERROR(__xludf.dummyfunction("iferror(match(O$1,SPLIT($M8,"",""),0)&gt;0,false)"),0)</f>
        <v>0</v>
      </c>
      <c r="V8" s="9" t="n">
        <f aca="false">IFERROR(__xludf.dummyfunction("iferror(match(O$1,SPLIT($M8,"",""),0)&gt;0,false)"),0)</f>
        <v>0</v>
      </c>
      <c r="W8" s="9" t="n">
        <f aca="false">IFERROR(__xludf.dummyfunction("iferror(match(O$1,SPLIT($M8,"",""),0)&gt;0,false)"),0)</f>
        <v>0</v>
      </c>
      <c r="X8" s="9" t="n">
        <f aca="false">IFERROR(__xludf.dummyfunction("iferror(match(O$1,SPLIT($M8,"",""),0)&gt;0,false)"),0)</f>
        <v>0</v>
      </c>
      <c r="Y8" s="9" t="n">
        <f aca="false">IFERROR(__xludf.dummyfunction("iferror(match(O$1,SPLIT($M8,"",""),0)&gt;0,false)"),0)</f>
        <v>0</v>
      </c>
      <c r="Z8" s="9" t="n">
        <f aca="false">IFERROR(__xludf.dummyfunction("iferror(match(O$1,SPLIT($M8,"",""),0)&gt;0,false)"),0)</f>
        <v>0</v>
      </c>
      <c r="AA8" s="9" t="n">
        <f aca="false">IFERROR(__xludf.dummyfunction("iferror(match(O$1,SPLIT($M8,"",""),0)&gt;0,false)"),0)</f>
        <v>0</v>
      </c>
      <c r="AB8" s="9" t="n">
        <f aca="false">IFERROR(__xludf.dummyfunction("iferror(match(O$1,SPLIT($M8,"",""),0)&gt;0,false)"),0)</f>
        <v>0</v>
      </c>
      <c r="AC8" s="4" t="s">
        <v>18</v>
      </c>
    </row>
    <row r="9" customFormat="false" ht="15.75" hidden="false" customHeight="true" outlineLevel="0" collapsed="false">
      <c r="A9" s="4" t="n">
        <v>1008</v>
      </c>
      <c r="B9" s="4" t="s">
        <v>31</v>
      </c>
      <c r="C9" s="5" t="s">
        <v>32</v>
      </c>
      <c r="D9" s="6" t="n">
        <v>21990</v>
      </c>
      <c r="E9" s="6"/>
      <c r="F9" s="7" t="n">
        <f aca="false">IFERROR(__xludf.dummyfunction("COUNT(FILTER(Ingredientes!A:A,Ingredientes!A:A=A9))"),0)</f>
        <v>0</v>
      </c>
      <c r="G9" s="7" t="n">
        <f aca="false">IFERROR(__xludf.dummyfunction("COUNT(FILTER(Ingredientes!A:A,Ingredientes!C:C=A9))"),1)</f>
        <v>1</v>
      </c>
      <c r="H9" s="7" t="n">
        <v>48</v>
      </c>
      <c r="I9" s="4" t="n">
        <v>0.5</v>
      </c>
      <c r="J9" s="4" t="s">
        <v>17</v>
      </c>
      <c r="K9" s="7" t="n">
        <v>10</v>
      </c>
      <c r="L9" s="7" t="n">
        <v>220</v>
      </c>
      <c r="M9" s="8" t="str">
        <f aca="false">IFERROR(__xludf.dummyfunction("JOIN("","", iferror(filter('Asignación'!C:C,'Asignación'!A:A=A9),{1,2,3,4,5,6,7,8,9,10,11,12,13,14}))"),"1,5,7,9,10,14")</f>
        <v>1,5,7,9,10,14</v>
      </c>
      <c r="N9" s="4" t="n">
        <f aca="false">IFERROR(__xludf.dummyfunction("countunique(iferror(filter('Asignación'!C:C,'Asignación'!A:A=A9),{1,2,3,4,5,6,7,8,9,10,11,12,13,14}))"),6)</f>
        <v>6</v>
      </c>
      <c r="O9" s="9" t="n">
        <f aca="false">IFERROR(__xludf.dummyfunction("iferror(match(O$1,SPLIT($M9,"",""),0)&gt;0,false)"),1)</f>
        <v>1</v>
      </c>
      <c r="P9" s="9" t="n">
        <f aca="false">IFERROR(__xludf.dummyfunction("iferror(match(O$1,SPLIT($M9,"",""),0)&gt;0,false)"),1)</f>
        <v>1</v>
      </c>
      <c r="Q9" s="9" t="n">
        <f aca="false">IFERROR(__xludf.dummyfunction("iferror(match(O$1,SPLIT($M9,"",""),0)&gt;0,false)"),1)</f>
        <v>1</v>
      </c>
      <c r="R9" s="9" t="n">
        <f aca="false">IFERROR(__xludf.dummyfunction("iferror(match(O$1,SPLIT($M9,"",""),0)&gt;0,false)"),1)</f>
        <v>1</v>
      </c>
      <c r="S9" s="9" t="n">
        <f aca="false">IFERROR(__xludf.dummyfunction("iferror(match(O$1,SPLIT($M9,"",""),0)&gt;0,false)"),1)</f>
        <v>1</v>
      </c>
      <c r="T9" s="9" t="n">
        <f aca="false">IFERROR(__xludf.dummyfunction("iferror(match(O$1,SPLIT($M9,"",""),0)&gt;0,false)"),1)</f>
        <v>1</v>
      </c>
      <c r="U9" s="9" t="n">
        <f aca="false">IFERROR(__xludf.dummyfunction("iferror(match(O$1,SPLIT($M9,"",""),0)&gt;0,false)"),1)</f>
        <v>1</v>
      </c>
      <c r="V9" s="9" t="n">
        <f aca="false">IFERROR(__xludf.dummyfunction("iferror(match(O$1,SPLIT($M9,"",""),0)&gt;0,false)"),1)</f>
        <v>1</v>
      </c>
      <c r="W9" s="9" t="n">
        <f aca="false">IFERROR(__xludf.dummyfunction("iferror(match(O$1,SPLIT($M9,"",""),0)&gt;0,false)"),1)</f>
        <v>1</v>
      </c>
      <c r="X9" s="9" t="n">
        <f aca="false">IFERROR(__xludf.dummyfunction("iferror(match(O$1,SPLIT($M9,"",""),0)&gt;0,false)"),1)</f>
        <v>1</v>
      </c>
      <c r="Y9" s="9" t="n">
        <f aca="false">IFERROR(__xludf.dummyfunction("iferror(match(O$1,SPLIT($M9,"",""),0)&gt;0,false)"),1)</f>
        <v>1</v>
      </c>
      <c r="Z9" s="9" t="n">
        <f aca="false">IFERROR(__xludf.dummyfunction("iferror(match(O$1,SPLIT($M9,"",""),0)&gt;0,false)"),1)</f>
        <v>1</v>
      </c>
      <c r="AA9" s="9" t="n">
        <f aca="false">IFERROR(__xludf.dummyfunction("iferror(match(O$1,SPLIT($M9,"",""),0)&gt;0,false)"),1)</f>
        <v>1</v>
      </c>
      <c r="AB9" s="9" t="n">
        <f aca="false">IFERROR(__xludf.dummyfunction("iferror(match(O$1,SPLIT($M9,"",""),0)&gt;0,false)"),1)</f>
        <v>1</v>
      </c>
      <c r="AC9" s="4" t="s">
        <v>18</v>
      </c>
    </row>
    <row r="10" customFormat="false" ht="15.75" hidden="false" customHeight="true" outlineLevel="0" collapsed="false">
      <c r="A10" s="4" t="n">
        <v>1009</v>
      </c>
      <c r="B10" s="4" t="s">
        <v>33</v>
      </c>
      <c r="C10" s="5" t="s">
        <v>34</v>
      </c>
      <c r="D10" s="6" t="n">
        <v>14370</v>
      </c>
      <c r="E10" s="6"/>
      <c r="F10" s="7" t="n">
        <f aca="false">IFERROR(__xludf.dummyfunction("COUNT(FILTER(Ingredientes!A:A,Ingredientes!A:A=A10))"),0)</f>
        <v>0</v>
      </c>
      <c r="G10" s="7" t="n">
        <f aca="false">IFERROR(__xludf.dummyfunction("COUNT(FILTER(Ingredientes!A:A,Ingredientes!C:C=A10))"),3)</f>
        <v>3</v>
      </c>
      <c r="H10" s="7" t="n">
        <v>15</v>
      </c>
      <c r="I10" s="4" t="n">
        <v>1</v>
      </c>
      <c r="J10" s="4" t="s">
        <v>17</v>
      </c>
      <c r="K10" s="7" t="n">
        <v>3</v>
      </c>
      <c r="L10" s="7" t="n">
        <v>400</v>
      </c>
      <c r="M10" s="8" t="str">
        <f aca="false">IFERROR(__xludf.dummyfunction("JOIN("","", iferror(filter('Asignación'!C:C,'Asignación'!A:A=A10),{1,2,3,4,5,6,7,8,9,10,11,12,13,14}))"),"1,4,8,9,12,14")</f>
        <v>1,4,8,9,12,14</v>
      </c>
      <c r="N10" s="4" t="n">
        <f aca="false">IFERROR(__xludf.dummyfunction("countunique(iferror(filter('Asignación'!C:C,'Asignación'!A:A=A10),{1,2,3,4,5,6,7,8,9,10,11,12,13,14}))"),6)</f>
        <v>6</v>
      </c>
      <c r="O10" s="9" t="n">
        <f aca="false">IFERROR(__xludf.dummyfunction("iferror(match(O$1,SPLIT($M10,"",""),0)&gt;0,false)"),1)</f>
        <v>1</v>
      </c>
      <c r="P10" s="9" t="n">
        <f aca="false">IFERROR(__xludf.dummyfunction("iferror(match(O$1,SPLIT($M10,"",""),0)&gt;0,false)"),1)</f>
        <v>1</v>
      </c>
      <c r="Q10" s="9" t="n">
        <f aca="false">IFERROR(__xludf.dummyfunction("iferror(match(O$1,SPLIT($M10,"",""),0)&gt;0,false)"),1)</f>
        <v>1</v>
      </c>
      <c r="R10" s="9" t="n">
        <f aca="false">IFERROR(__xludf.dummyfunction("iferror(match(O$1,SPLIT($M10,"",""),0)&gt;0,false)"),1)</f>
        <v>1</v>
      </c>
      <c r="S10" s="9" t="n">
        <f aca="false">IFERROR(__xludf.dummyfunction("iferror(match(O$1,SPLIT($M10,"",""),0)&gt;0,false)"),1)</f>
        <v>1</v>
      </c>
      <c r="T10" s="9" t="n">
        <f aca="false">IFERROR(__xludf.dummyfunction("iferror(match(O$1,SPLIT($M10,"",""),0)&gt;0,false)"),1)</f>
        <v>1</v>
      </c>
      <c r="U10" s="9" t="n">
        <f aca="false">IFERROR(__xludf.dummyfunction("iferror(match(O$1,SPLIT($M10,"",""),0)&gt;0,false)"),1)</f>
        <v>1</v>
      </c>
      <c r="V10" s="9" t="n">
        <f aca="false">IFERROR(__xludf.dummyfunction("iferror(match(O$1,SPLIT($M10,"",""),0)&gt;0,false)"),1)</f>
        <v>1</v>
      </c>
      <c r="W10" s="9" t="n">
        <f aca="false">IFERROR(__xludf.dummyfunction("iferror(match(O$1,SPLIT($M10,"",""),0)&gt;0,false)"),1)</f>
        <v>1</v>
      </c>
      <c r="X10" s="9" t="n">
        <f aca="false">IFERROR(__xludf.dummyfunction("iferror(match(O$1,SPLIT($M10,"",""),0)&gt;0,false)"),1)</f>
        <v>1</v>
      </c>
      <c r="Y10" s="9" t="n">
        <f aca="false">IFERROR(__xludf.dummyfunction("iferror(match(O$1,SPLIT($M10,"",""),0)&gt;0,false)"),1)</f>
        <v>1</v>
      </c>
      <c r="Z10" s="9" t="n">
        <f aca="false">IFERROR(__xludf.dummyfunction("iferror(match(O$1,SPLIT($M10,"",""),0)&gt;0,false)"),1)</f>
        <v>1</v>
      </c>
      <c r="AA10" s="9" t="n">
        <f aca="false">IFERROR(__xludf.dummyfunction("iferror(match(O$1,SPLIT($M10,"",""),0)&gt;0,false)"),1)</f>
        <v>1</v>
      </c>
      <c r="AB10" s="9" t="n">
        <f aca="false">IFERROR(__xludf.dummyfunction("iferror(match(O$1,SPLIT($M10,"",""),0)&gt;0,false)"),1)</f>
        <v>1</v>
      </c>
      <c r="AC10" s="4" t="s">
        <v>18</v>
      </c>
    </row>
    <row r="11" customFormat="false" ht="15.75" hidden="false" customHeight="true" outlineLevel="0" collapsed="false">
      <c r="A11" s="4" t="n">
        <v>1010</v>
      </c>
      <c r="B11" s="4" t="s">
        <v>35</v>
      </c>
      <c r="C11" s="5" t="s">
        <v>36</v>
      </c>
      <c r="D11" s="6" t="n">
        <v>2990</v>
      </c>
      <c r="E11" s="6"/>
      <c r="F11" s="7" t="n">
        <f aca="false">IFERROR(__xludf.dummyfunction("COUNT(FILTER(Ingredientes!A:A,Ingredientes!A:A=A11))"),0)</f>
        <v>0</v>
      </c>
      <c r="G11" s="7" t="n">
        <f aca="false">IFERROR(__xludf.dummyfunction("COUNT(FILTER(Ingredientes!A:A,Ingredientes!C:C=A11))"),3)</f>
        <v>3</v>
      </c>
      <c r="H11" s="7" t="n">
        <v>30</v>
      </c>
      <c r="I11" s="4" t="n">
        <v>3</v>
      </c>
      <c r="J11" s="4" t="s">
        <v>28</v>
      </c>
      <c r="K11" s="7" t="n">
        <v>5</v>
      </c>
      <c r="L11" s="7" t="n">
        <v>480</v>
      </c>
      <c r="M11" s="8" t="str">
        <f aca="false">IFERROR(__xludf.dummyfunction("JOIN("","", iferror(filter('Asignación'!C:C,'Asignación'!A:A=A11),{1,2,3,4,5,6,7,8,9,10,11,12,13,14}))"),"1,2,3,9,10,13")</f>
        <v>1,2,3,9,10,13</v>
      </c>
      <c r="N11" s="4" t="n">
        <f aca="false">IFERROR(__xludf.dummyfunction("countunique(iferror(filter('Asignación'!C:C,'Asignación'!A:A=A11),{1,2,3,4,5,6,7,8,9,10,11,12,13,14}))"),6)</f>
        <v>6</v>
      </c>
      <c r="O11" s="9" t="n">
        <f aca="false">IFERROR(__xludf.dummyfunction("iferror(match(O$1,SPLIT($M11,"",""),0)&gt;0,false)"),1)</f>
        <v>1</v>
      </c>
      <c r="P11" s="9" t="n">
        <f aca="false">IFERROR(__xludf.dummyfunction("iferror(match(O$1,SPLIT($M11,"",""),0)&gt;0,false)"),1)</f>
        <v>1</v>
      </c>
      <c r="Q11" s="9" t="n">
        <f aca="false">IFERROR(__xludf.dummyfunction("iferror(match(O$1,SPLIT($M11,"",""),0)&gt;0,false)"),1)</f>
        <v>1</v>
      </c>
      <c r="R11" s="9" t="n">
        <f aca="false">IFERROR(__xludf.dummyfunction("iferror(match(O$1,SPLIT($M11,"",""),0)&gt;0,false)"),1)</f>
        <v>1</v>
      </c>
      <c r="S11" s="9" t="n">
        <f aca="false">IFERROR(__xludf.dummyfunction("iferror(match(O$1,SPLIT($M11,"",""),0)&gt;0,false)"),1)</f>
        <v>1</v>
      </c>
      <c r="T11" s="9" t="n">
        <f aca="false">IFERROR(__xludf.dummyfunction("iferror(match(O$1,SPLIT($M11,"",""),0)&gt;0,false)"),1)</f>
        <v>1</v>
      </c>
      <c r="U11" s="9" t="n">
        <f aca="false">IFERROR(__xludf.dummyfunction("iferror(match(O$1,SPLIT($M11,"",""),0)&gt;0,false)"),1)</f>
        <v>1</v>
      </c>
      <c r="V11" s="9" t="n">
        <f aca="false">IFERROR(__xludf.dummyfunction("iferror(match(O$1,SPLIT($M11,"",""),0)&gt;0,false)"),1)</f>
        <v>1</v>
      </c>
      <c r="W11" s="9" t="n">
        <f aca="false">IFERROR(__xludf.dummyfunction("iferror(match(O$1,SPLIT($M11,"",""),0)&gt;0,false)"),1)</f>
        <v>1</v>
      </c>
      <c r="X11" s="9" t="n">
        <f aca="false">IFERROR(__xludf.dummyfunction("iferror(match(O$1,SPLIT($M11,"",""),0)&gt;0,false)"),1)</f>
        <v>1</v>
      </c>
      <c r="Y11" s="9" t="n">
        <f aca="false">IFERROR(__xludf.dummyfunction("iferror(match(O$1,SPLIT($M11,"",""),0)&gt;0,false)"),1)</f>
        <v>1</v>
      </c>
      <c r="Z11" s="9" t="n">
        <f aca="false">IFERROR(__xludf.dummyfunction("iferror(match(O$1,SPLIT($M11,"",""),0)&gt;0,false)"),1)</f>
        <v>1</v>
      </c>
      <c r="AA11" s="9" t="n">
        <f aca="false">IFERROR(__xludf.dummyfunction("iferror(match(O$1,SPLIT($M11,"",""),0)&gt;0,false)"),1)</f>
        <v>1</v>
      </c>
      <c r="AB11" s="9" t="n">
        <f aca="false">IFERROR(__xludf.dummyfunction("iferror(match(O$1,SPLIT($M11,"",""),0)&gt;0,false)"),1)</f>
        <v>1</v>
      </c>
      <c r="AC11" s="4" t="s">
        <v>18</v>
      </c>
    </row>
    <row r="12" customFormat="false" ht="15.75" hidden="false" customHeight="true" outlineLevel="0" collapsed="false">
      <c r="A12" s="4" t="n">
        <v>1011</v>
      </c>
      <c r="B12" s="4" t="s">
        <v>37</v>
      </c>
      <c r="C12" s="5" t="s">
        <v>38</v>
      </c>
      <c r="D12" s="6" t="n">
        <v>990</v>
      </c>
      <c r="E12" s="6"/>
      <c r="F12" s="7" t="n">
        <f aca="false">IFERROR(__xludf.dummyfunction("COUNT(FILTER(Ingredientes!A:A,Ingredientes!A:A=A12))"),0)</f>
        <v>0</v>
      </c>
      <c r="G12" s="7" t="n">
        <f aca="false">IFERROR(__xludf.dummyfunction("COUNT(FILTER(Ingredientes!A:A,Ingredientes!C:C=A12))"),1)</f>
        <v>1</v>
      </c>
      <c r="H12" s="7" t="n">
        <f aca="false">7*24</f>
        <v>168</v>
      </c>
      <c r="I12" s="4" t="n">
        <v>0.55</v>
      </c>
      <c r="J12" s="4" t="s">
        <v>17</v>
      </c>
      <c r="K12" s="7" t="n">
        <v>4</v>
      </c>
      <c r="L12" s="7" t="n">
        <v>120</v>
      </c>
      <c r="M12" s="8" t="str">
        <f aca="false">IFERROR(__xludf.dummyfunction("JOIN("","", iferror(filter('Asignación'!C:C,'Asignación'!A:A=A12),{1,2,3,4,5,6,7,8,9,10,11,12,13,14}))"),"2,5,7,10,11,12")</f>
        <v>2,5,7,10,11,12</v>
      </c>
      <c r="N12" s="4" t="n">
        <f aca="false">IFERROR(__xludf.dummyfunction("countunique(iferror(filter('Asignación'!C:C,'Asignación'!A:A=A12),{1,2,3,4,5,6,7,8,9,10,11,12,13,14}))"),6)</f>
        <v>6</v>
      </c>
      <c r="O12" s="9" t="n">
        <f aca="false">IFERROR(__xludf.dummyfunction("iferror(match(O$1,SPLIT($M12,"",""),0)&gt;0,false)"),0)</f>
        <v>0</v>
      </c>
      <c r="P12" s="9" t="n">
        <f aca="false">IFERROR(__xludf.dummyfunction("iferror(match(O$1,SPLIT($M12,"",""),0)&gt;0,false)"),0)</f>
        <v>0</v>
      </c>
      <c r="Q12" s="9" t="n">
        <f aca="false">IFERROR(__xludf.dummyfunction("iferror(match(O$1,SPLIT($M12,"",""),0)&gt;0,false)"),0)</f>
        <v>0</v>
      </c>
      <c r="R12" s="9" t="n">
        <f aca="false">IFERROR(__xludf.dummyfunction("iferror(match(O$1,SPLIT($M12,"",""),0)&gt;0,false)"),0)</f>
        <v>0</v>
      </c>
      <c r="S12" s="9" t="n">
        <f aca="false">IFERROR(__xludf.dummyfunction("iferror(match(O$1,SPLIT($M12,"",""),0)&gt;0,false)"),0)</f>
        <v>0</v>
      </c>
      <c r="T12" s="9" t="n">
        <f aca="false">IFERROR(__xludf.dummyfunction("iferror(match(O$1,SPLIT($M12,"",""),0)&gt;0,false)"),0)</f>
        <v>0</v>
      </c>
      <c r="U12" s="9" t="n">
        <f aca="false">IFERROR(__xludf.dummyfunction("iferror(match(O$1,SPLIT($M12,"",""),0)&gt;0,false)"),0)</f>
        <v>0</v>
      </c>
      <c r="V12" s="9" t="n">
        <f aca="false">IFERROR(__xludf.dummyfunction("iferror(match(O$1,SPLIT($M12,"",""),0)&gt;0,false)"),0)</f>
        <v>0</v>
      </c>
      <c r="W12" s="9" t="n">
        <f aca="false">IFERROR(__xludf.dummyfunction("iferror(match(O$1,SPLIT($M12,"",""),0)&gt;0,false)"),0)</f>
        <v>0</v>
      </c>
      <c r="X12" s="9" t="n">
        <f aca="false">IFERROR(__xludf.dummyfunction("iferror(match(O$1,SPLIT($M12,"",""),0)&gt;0,false)"),0)</f>
        <v>0</v>
      </c>
      <c r="Y12" s="9" t="n">
        <f aca="false">IFERROR(__xludf.dummyfunction("iferror(match(O$1,SPLIT($M12,"",""),0)&gt;0,false)"),0)</f>
        <v>0</v>
      </c>
      <c r="Z12" s="9" t="n">
        <f aca="false">IFERROR(__xludf.dummyfunction("iferror(match(O$1,SPLIT($M12,"",""),0)&gt;0,false)"),0)</f>
        <v>0</v>
      </c>
      <c r="AA12" s="9" t="n">
        <f aca="false">IFERROR(__xludf.dummyfunction("iferror(match(O$1,SPLIT($M12,"",""),0)&gt;0,false)"),0)</f>
        <v>0</v>
      </c>
      <c r="AB12" s="9" t="n">
        <f aca="false">IFERROR(__xludf.dummyfunction("iferror(match(O$1,SPLIT($M12,"",""),0)&gt;0,false)"),0)</f>
        <v>0</v>
      </c>
      <c r="AC12" s="4" t="s">
        <v>18</v>
      </c>
    </row>
    <row r="13" customFormat="false" ht="15.75" hidden="false" customHeight="true" outlineLevel="0" collapsed="false">
      <c r="A13" s="4" t="n">
        <v>1012</v>
      </c>
      <c r="B13" s="4" t="s">
        <v>39</v>
      </c>
      <c r="C13" s="5" t="s">
        <v>40</v>
      </c>
      <c r="D13" s="6" t="n">
        <v>9990</v>
      </c>
      <c r="E13" s="6"/>
      <c r="F13" s="7" t="n">
        <f aca="false">IFERROR(__xludf.dummyfunction("COUNT(FILTER(Ingredientes!A:A,Ingredientes!A:A=A13))"),0)</f>
        <v>0</v>
      </c>
      <c r="G13" s="7" t="n">
        <f aca="false">IFERROR(__xludf.dummyfunction("COUNT(FILTER(Ingredientes!A:A,Ingredientes!C:C=A13))"),1)</f>
        <v>1</v>
      </c>
      <c r="H13" s="7" t="n">
        <f aca="false">3*24</f>
        <v>72</v>
      </c>
      <c r="I13" s="4" t="n">
        <v>1</v>
      </c>
      <c r="J13" s="4" t="s">
        <v>17</v>
      </c>
      <c r="K13" s="7" t="n">
        <v>7</v>
      </c>
      <c r="L13" s="7" t="n">
        <v>150</v>
      </c>
      <c r="M13" s="8" t="str">
        <f aca="false">IFERROR(__xludf.dummyfunction("JOIN("","", iferror(filter('Asignación'!C:C,'Asignación'!A:A=A13),{1,2,3,4,5,6,7,8,9,10,11,12,13,14}))"),"2,6,11,12,13,14")</f>
        <v>2,6,11,12,13,14</v>
      </c>
      <c r="N13" s="4" t="n">
        <f aca="false">IFERROR(__xludf.dummyfunction("countunique(iferror(filter('Asignación'!C:C,'Asignación'!A:A=A13),{1,2,3,4,5,6,7,8,9,10,11,12,13,14}))"),6)</f>
        <v>6</v>
      </c>
      <c r="O13" s="9" t="n">
        <f aca="false">IFERROR(__xludf.dummyfunction("iferror(match(O$1,SPLIT($M13,"",""),0)&gt;0,false)"),0)</f>
        <v>0</v>
      </c>
      <c r="P13" s="9" t="n">
        <f aca="false">IFERROR(__xludf.dummyfunction("iferror(match(O$1,SPLIT($M13,"",""),0)&gt;0,false)"),0)</f>
        <v>0</v>
      </c>
      <c r="Q13" s="9" t="n">
        <f aca="false">IFERROR(__xludf.dummyfunction("iferror(match(O$1,SPLIT($M13,"",""),0)&gt;0,false)"),0)</f>
        <v>0</v>
      </c>
      <c r="R13" s="9" t="n">
        <f aca="false">IFERROR(__xludf.dummyfunction("iferror(match(O$1,SPLIT($M13,"",""),0)&gt;0,false)"),0)</f>
        <v>0</v>
      </c>
      <c r="S13" s="9" t="n">
        <f aca="false">IFERROR(__xludf.dummyfunction("iferror(match(O$1,SPLIT($M13,"",""),0)&gt;0,false)"),0)</f>
        <v>0</v>
      </c>
      <c r="T13" s="9" t="n">
        <f aca="false">IFERROR(__xludf.dummyfunction("iferror(match(O$1,SPLIT($M13,"",""),0)&gt;0,false)"),0)</f>
        <v>0</v>
      </c>
      <c r="U13" s="9" t="n">
        <f aca="false">IFERROR(__xludf.dummyfunction("iferror(match(O$1,SPLIT($M13,"",""),0)&gt;0,false)"),0)</f>
        <v>0</v>
      </c>
      <c r="V13" s="9" t="n">
        <f aca="false">IFERROR(__xludf.dummyfunction("iferror(match(O$1,SPLIT($M13,"",""),0)&gt;0,false)"),0)</f>
        <v>0</v>
      </c>
      <c r="W13" s="9" t="n">
        <f aca="false">IFERROR(__xludf.dummyfunction("iferror(match(O$1,SPLIT($M13,"",""),0)&gt;0,false)"),0)</f>
        <v>0</v>
      </c>
      <c r="X13" s="9" t="n">
        <f aca="false">IFERROR(__xludf.dummyfunction("iferror(match(O$1,SPLIT($M13,"",""),0)&gt;0,false)"),0)</f>
        <v>0</v>
      </c>
      <c r="Y13" s="9" t="n">
        <f aca="false">IFERROR(__xludf.dummyfunction("iferror(match(O$1,SPLIT($M13,"",""),0)&gt;0,false)"),0)</f>
        <v>0</v>
      </c>
      <c r="Z13" s="9" t="n">
        <f aca="false">IFERROR(__xludf.dummyfunction("iferror(match(O$1,SPLIT($M13,"",""),0)&gt;0,false)"),0)</f>
        <v>0</v>
      </c>
      <c r="AA13" s="9" t="n">
        <f aca="false">IFERROR(__xludf.dummyfunction("iferror(match(O$1,SPLIT($M13,"",""),0)&gt;0,false)"),0)</f>
        <v>0</v>
      </c>
      <c r="AB13" s="9" t="n">
        <f aca="false">IFERROR(__xludf.dummyfunction("iferror(match(O$1,SPLIT($M13,"",""),0)&gt;0,false)"),0)</f>
        <v>0</v>
      </c>
      <c r="AC13" s="4" t="s">
        <v>18</v>
      </c>
    </row>
    <row r="14" customFormat="false" ht="15.75" hidden="false" customHeight="true" outlineLevel="0" collapsed="false">
      <c r="A14" s="4" t="n">
        <v>1013</v>
      </c>
      <c r="B14" s="4" t="s">
        <v>41</v>
      </c>
      <c r="C14" s="5" t="s">
        <v>42</v>
      </c>
      <c r="D14" s="6" t="n">
        <v>1400</v>
      </c>
      <c r="E14" s="6"/>
      <c r="F14" s="7" t="n">
        <f aca="false">IFERROR(__xludf.dummyfunction("COUNT(FILTER(Ingredientes!A:A,Ingredientes!A:A=A14))"),0)</f>
        <v>0</v>
      </c>
      <c r="G14" s="7" t="n">
        <f aca="false">IFERROR(__xludf.dummyfunction("COUNT(FILTER(Ingredientes!A:A,Ingredientes!C:C=A14))"),6)</f>
        <v>6</v>
      </c>
      <c r="H14" s="7" t="n">
        <v>12</v>
      </c>
      <c r="I14" s="4" t="n">
        <v>0.01</v>
      </c>
      <c r="J14" s="4" t="s">
        <v>17</v>
      </c>
      <c r="K14" s="7" t="n">
        <v>10</v>
      </c>
      <c r="L14" s="7" t="n">
        <v>320</v>
      </c>
      <c r="M14" s="8" t="str">
        <f aca="false">IFERROR(__xludf.dummyfunction("JOIN("","", iferror(filter('Asignación'!C:C,'Asignación'!A:A=A14),{1,2,3,4,5,6,7,8,9,10,11,12,13,14}))"),"7,9,10,11,13,14")</f>
        <v>7,9,10,11,13,14</v>
      </c>
      <c r="N14" s="4" t="n">
        <f aca="false">IFERROR(__xludf.dummyfunction("countunique(iferror(filter('Asignación'!C:C,'Asignación'!A:A=A14),{1,2,3,4,5,6,7,8,9,10,11,12,13,14}))"),6)</f>
        <v>6</v>
      </c>
      <c r="O14" s="9" t="n">
        <f aca="false">IFERROR(__xludf.dummyfunction("iferror(match(O$1,SPLIT($M14,"",""),0)&gt;0,false)"),0)</f>
        <v>0</v>
      </c>
      <c r="P14" s="9" t="n">
        <f aca="false">IFERROR(__xludf.dummyfunction("iferror(match(O$1,SPLIT($M14,"",""),0)&gt;0,false)"),0)</f>
        <v>0</v>
      </c>
      <c r="Q14" s="9" t="n">
        <f aca="false">IFERROR(__xludf.dummyfunction("iferror(match(O$1,SPLIT($M14,"",""),0)&gt;0,false)"),0)</f>
        <v>0</v>
      </c>
      <c r="R14" s="9" t="n">
        <f aca="false">IFERROR(__xludf.dummyfunction("iferror(match(O$1,SPLIT($M14,"",""),0)&gt;0,false)"),0)</f>
        <v>0</v>
      </c>
      <c r="S14" s="9" t="n">
        <f aca="false">IFERROR(__xludf.dummyfunction("iferror(match(O$1,SPLIT($M14,"",""),0)&gt;0,false)"),0)</f>
        <v>0</v>
      </c>
      <c r="T14" s="9" t="n">
        <f aca="false">IFERROR(__xludf.dummyfunction("iferror(match(O$1,SPLIT($M14,"",""),0)&gt;0,false)"),0)</f>
        <v>0</v>
      </c>
      <c r="U14" s="9" t="n">
        <f aca="false">IFERROR(__xludf.dummyfunction("iferror(match(O$1,SPLIT($M14,"",""),0)&gt;0,false)"),0)</f>
        <v>0</v>
      </c>
      <c r="V14" s="9" t="n">
        <f aca="false">IFERROR(__xludf.dummyfunction("iferror(match(O$1,SPLIT($M14,"",""),0)&gt;0,false)"),0)</f>
        <v>0</v>
      </c>
      <c r="W14" s="9" t="n">
        <f aca="false">IFERROR(__xludf.dummyfunction("iferror(match(O$1,SPLIT($M14,"",""),0)&gt;0,false)"),0)</f>
        <v>0</v>
      </c>
      <c r="X14" s="9" t="n">
        <f aca="false">IFERROR(__xludf.dummyfunction("iferror(match(O$1,SPLIT($M14,"",""),0)&gt;0,false)"),0)</f>
        <v>0</v>
      </c>
      <c r="Y14" s="9" t="n">
        <f aca="false">IFERROR(__xludf.dummyfunction("iferror(match(O$1,SPLIT($M14,"",""),0)&gt;0,false)"),0)</f>
        <v>0</v>
      </c>
      <c r="Z14" s="9" t="n">
        <f aca="false">IFERROR(__xludf.dummyfunction("iferror(match(O$1,SPLIT($M14,"",""),0)&gt;0,false)"),0)</f>
        <v>0</v>
      </c>
      <c r="AA14" s="9" t="n">
        <f aca="false">IFERROR(__xludf.dummyfunction("iferror(match(O$1,SPLIT($M14,"",""),0)&gt;0,false)"),0)</f>
        <v>0</v>
      </c>
      <c r="AB14" s="9" t="n">
        <f aca="false">IFERROR(__xludf.dummyfunction("iferror(match(O$1,SPLIT($M14,"",""),0)&gt;0,false)"),0)</f>
        <v>0</v>
      </c>
      <c r="AC14" s="4" t="s">
        <v>18</v>
      </c>
    </row>
    <row r="15" customFormat="false" ht="15.75" hidden="false" customHeight="true" outlineLevel="0" collapsed="false">
      <c r="A15" s="4" t="n">
        <v>1014</v>
      </c>
      <c r="B15" s="4" t="s">
        <v>43</v>
      </c>
      <c r="C15" s="5" t="s">
        <v>44</v>
      </c>
      <c r="D15" s="6" t="n">
        <v>690</v>
      </c>
      <c r="E15" s="6"/>
      <c r="F15" s="7" t="n">
        <f aca="false">IFERROR(__xludf.dummyfunction("COUNT(FILTER(Ingredientes!A:A,Ingredientes!A:A=A15))"),0)</f>
        <v>0</v>
      </c>
      <c r="G15" s="7" t="n">
        <f aca="false">IFERROR(__xludf.dummyfunction("COUNT(FILTER(Ingredientes!A:A,Ingredientes!C:C=A15))"),1)</f>
        <v>1</v>
      </c>
      <c r="H15" s="7" t="n">
        <v>24</v>
      </c>
      <c r="I15" s="4" t="n">
        <v>1</v>
      </c>
      <c r="J15" s="4" t="s">
        <v>28</v>
      </c>
      <c r="K15" s="7" t="n">
        <v>5</v>
      </c>
      <c r="L15" s="7" t="n">
        <v>240</v>
      </c>
      <c r="M15" s="8" t="str">
        <f aca="false">IFERROR(__xludf.dummyfunction("JOIN("","", iferror(filter('Asignación'!C:C,'Asignación'!A:A=A15),{1,2,3,4,5,6,7,8,9,10,11,12,13,14}))"),"2,3,4,5,8,11")</f>
        <v>2,3,4,5,8,11</v>
      </c>
      <c r="N15" s="4" t="n">
        <f aca="false">IFERROR(__xludf.dummyfunction("countunique(iferror(filter('Asignación'!C:C,'Asignación'!A:A=A15),{1,2,3,4,5,6,7,8,9,10,11,12,13,14}))"),6)</f>
        <v>6</v>
      </c>
      <c r="O15" s="9" t="n">
        <f aca="false">IFERROR(__xludf.dummyfunction("iferror(match(O$1,SPLIT($M15,"",""),0)&gt;0,false)"),0)</f>
        <v>0</v>
      </c>
      <c r="P15" s="9" t="n">
        <f aca="false">IFERROR(__xludf.dummyfunction("iferror(match(O$1,SPLIT($M15,"",""),0)&gt;0,false)"),0)</f>
        <v>0</v>
      </c>
      <c r="Q15" s="9" t="n">
        <f aca="false">IFERROR(__xludf.dummyfunction("iferror(match(O$1,SPLIT($M15,"",""),0)&gt;0,false)"),0)</f>
        <v>0</v>
      </c>
      <c r="R15" s="9" t="n">
        <f aca="false">IFERROR(__xludf.dummyfunction("iferror(match(O$1,SPLIT($M15,"",""),0)&gt;0,false)"),0)</f>
        <v>0</v>
      </c>
      <c r="S15" s="9" t="n">
        <f aca="false">IFERROR(__xludf.dummyfunction("iferror(match(O$1,SPLIT($M15,"",""),0)&gt;0,false)"),0)</f>
        <v>0</v>
      </c>
      <c r="T15" s="9" t="n">
        <f aca="false">IFERROR(__xludf.dummyfunction("iferror(match(O$1,SPLIT($M15,"",""),0)&gt;0,false)"),0)</f>
        <v>0</v>
      </c>
      <c r="U15" s="9" t="n">
        <f aca="false">IFERROR(__xludf.dummyfunction("iferror(match(O$1,SPLIT($M15,"",""),0)&gt;0,false)"),0)</f>
        <v>0</v>
      </c>
      <c r="V15" s="9" t="n">
        <f aca="false">IFERROR(__xludf.dummyfunction("iferror(match(O$1,SPLIT($M15,"",""),0)&gt;0,false)"),0)</f>
        <v>0</v>
      </c>
      <c r="W15" s="9" t="n">
        <f aca="false">IFERROR(__xludf.dummyfunction("iferror(match(O$1,SPLIT($M15,"",""),0)&gt;0,false)"),0)</f>
        <v>0</v>
      </c>
      <c r="X15" s="9" t="n">
        <f aca="false">IFERROR(__xludf.dummyfunction("iferror(match(O$1,SPLIT($M15,"",""),0)&gt;0,false)"),0)</f>
        <v>0</v>
      </c>
      <c r="Y15" s="9" t="n">
        <f aca="false">IFERROR(__xludf.dummyfunction("iferror(match(O$1,SPLIT($M15,"",""),0)&gt;0,false)"),0)</f>
        <v>0</v>
      </c>
      <c r="Z15" s="9" t="n">
        <f aca="false">IFERROR(__xludf.dummyfunction("iferror(match(O$1,SPLIT($M15,"",""),0)&gt;0,false)"),0)</f>
        <v>0</v>
      </c>
      <c r="AA15" s="9" t="n">
        <f aca="false">IFERROR(__xludf.dummyfunction("iferror(match(O$1,SPLIT($M15,"",""),0)&gt;0,false)"),0)</f>
        <v>0</v>
      </c>
      <c r="AB15" s="9" t="n">
        <f aca="false">IFERROR(__xludf.dummyfunction("iferror(match(O$1,SPLIT($M15,"",""),0)&gt;0,false)"),0)</f>
        <v>0</v>
      </c>
      <c r="AC15" s="4" t="s">
        <v>18</v>
      </c>
    </row>
    <row r="16" customFormat="false" ht="15.75" hidden="false" customHeight="true" outlineLevel="0" collapsed="false">
      <c r="A16" s="4" t="n">
        <v>1015</v>
      </c>
      <c r="B16" s="4" t="s">
        <v>45</v>
      </c>
      <c r="C16" s="5" t="s">
        <v>46</v>
      </c>
      <c r="D16" s="6" t="n">
        <v>350</v>
      </c>
      <c r="E16" s="6"/>
      <c r="F16" s="7" t="n">
        <f aca="false">IFERROR(__xludf.dummyfunction("COUNT(FILTER(Ingredientes!A:A,Ingredientes!A:A=A16))"),0)</f>
        <v>0</v>
      </c>
      <c r="G16" s="7" t="n">
        <f aca="false">IFERROR(__xludf.dummyfunction("COUNT(FILTER(Ingredientes!A:A,Ingredientes!C:C=A16))"),2)</f>
        <v>2</v>
      </c>
      <c r="H16" s="7" t="n">
        <v>30</v>
      </c>
      <c r="I16" s="4" t="n">
        <v>0.1</v>
      </c>
      <c r="J16" s="4" t="s">
        <v>17</v>
      </c>
      <c r="K16" s="7" t="n">
        <v>4</v>
      </c>
      <c r="L16" s="7" t="n">
        <v>400</v>
      </c>
      <c r="M16" s="8" t="str">
        <f aca="false">IFERROR(__xludf.dummyfunction("JOIN("","", iferror(filter('Asignación'!C:C,'Asignación'!A:A=A16),{1,2,3,4,5,6,7,8,9,10,11,12,13,14}))"),"1,3,4,6,12,14")</f>
        <v>1,3,4,6,12,14</v>
      </c>
      <c r="N16" s="4" t="n">
        <f aca="false">IFERROR(__xludf.dummyfunction("countunique(iferror(filter('Asignación'!C:C,'Asignación'!A:A=A16),{1,2,3,4,5,6,7,8,9,10,11,12,13,14}))"),6)</f>
        <v>6</v>
      </c>
      <c r="O16" s="9" t="n">
        <f aca="false">IFERROR(__xludf.dummyfunction("iferror(match(O$1,SPLIT($M16,"",""),0)&gt;0,false)"),1)</f>
        <v>1</v>
      </c>
      <c r="P16" s="9" t="n">
        <f aca="false">IFERROR(__xludf.dummyfunction("iferror(match(O$1,SPLIT($M16,"",""),0)&gt;0,false)"),1)</f>
        <v>1</v>
      </c>
      <c r="Q16" s="9" t="n">
        <f aca="false">IFERROR(__xludf.dummyfunction("iferror(match(O$1,SPLIT($M16,"",""),0)&gt;0,false)"),1)</f>
        <v>1</v>
      </c>
      <c r="R16" s="9" t="n">
        <f aca="false">IFERROR(__xludf.dummyfunction("iferror(match(O$1,SPLIT($M16,"",""),0)&gt;0,false)"),1)</f>
        <v>1</v>
      </c>
      <c r="S16" s="9" t="n">
        <f aca="false">IFERROR(__xludf.dummyfunction("iferror(match(O$1,SPLIT($M16,"",""),0)&gt;0,false)"),1)</f>
        <v>1</v>
      </c>
      <c r="T16" s="9" t="n">
        <f aca="false">IFERROR(__xludf.dummyfunction("iferror(match(O$1,SPLIT($M16,"",""),0)&gt;0,false)"),1)</f>
        <v>1</v>
      </c>
      <c r="U16" s="9" t="n">
        <f aca="false">IFERROR(__xludf.dummyfunction("iferror(match(O$1,SPLIT($M16,"",""),0)&gt;0,false)"),1)</f>
        <v>1</v>
      </c>
      <c r="V16" s="9" t="n">
        <f aca="false">IFERROR(__xludf.dummyfunction("iferror(match(O$1,SPLIT($M16,"",""),0)&gt;0,false)"),1)</f>
        <v>1</v>
      </c>
      <c r="W16" s="9" t="n">
        <f aca="false">IFERROR(__xludf.dummyfunction("iferror(match(O$1,SPLIT($M16,"",""),0)&gt;0,false)"),1)</f>
        <v>1</v>
      </c>
      <c r="X16" s="9" t="n">
        <f aca="false">IFERROR(__xludf.dummyfunction("iferror(match(O$1,SPLIT($M16,"",""),0)&gt;0,false)"),1)</f>
        <v>1</v>
      </c>
      <c r="Y16" s="9" t="n">
        <f aca="false">IFERROR(__xludf.dummyfunction("iferror(match(O$1,SPLIT($M16,"",""),0)&gt;0,false)"),1)</f>
        <v>1</v>
      </c>
      <c r="Z16" s="9" t="n">
        <f aca="false">IFERROR(__xludf.dummyfunction("iferror(match(O$1,SPLIT($M16,"",""),0)&gt;0,false)"),1)</f>
        <v>1</v>
      </c>
      <c r="AA16" s="9" t="n">
        <f aca="false">IFERROR(__xludf.dummyfunction("iferror(match(O$1,SPLIT($M16,"",""),0)&gt;0,false)"),1)</f>
        <v>1</v>
      </c>
      <c r="AB16" s="9" t="n">
        <f aca="false">IFERROR(__xludf.dummyfunction("iferror(match(O$1,SPLIT($M16,"",""),0)&gt;0,false)"),1)</f>
        <v>1</v>
      </c>
      <c r="AC16" s="4" t="s">
        <v>18</v>
      </c>
    </row>
    <row r="17" customFormat="false" ht="15.75" hidden="false" customHeight="true" outlineLevel="0" collapsed="false">
      <c r="A17" s="4" t="n">
        <v>1016</v>
      </c>
      <c r="B17" s="4" t="s">
        <v>47</v>
      </c>
      <c r="C17" s="5" t="s">
        <v>48</v>
      </c>
      <c r="D17" s="6" t="n">
        <v>2790</v>
      </c>
      <c r="E17" s="4"/>
      <c r="F17" s="7" t="n">
        <f aca="false">IFERROR(__xludf.dummyfunction("COUNT(FILTER(Ingredientes!A:A,Ingredientes!A:A=A17))"),0)</f>
        <v>0</v>
      </c>
      <c r="G17" s="7" t="n">
        <f aca="false">IFERROR(__xludf.dummyfunction("COUNT(FILTER(Ingredientes!A:A,Ingredientes!C:C=A17))"),2)</f>
        <v>2</v>
      </c>
      <c r="H17" s="7" t="n">
        <v>240</v>
      </c>
      <c r="I17" s="4" t="n">
        <v>1</v>
      </c>
      <c r="J17" s="4" t="s">
        <v>17</v>
      </c>
      <c r="K17" s="7" t="n">
        <v>8</v>
      </c>
      <c r="L17" s="7" t="n">
        <v>600</v>
      </c>
      <c r="M17" s="8" t="str">
        <f aca="false">IFERROR(__xludf.dummyfunction("JOIN("","", iferror(filter('Asignación'!C:C,'Asignación'!A:A=A17),{1,2,3,4,5,6,7,8,9,10,11,12,13,14}))"),"1,2,3,4,5,6,7,8,9,10,11,12,13,14")</f>
        <v>1,2,3,4,5,6,7,8,9,10,11,12,13,14</v>
      </c>
      <c r="N17" s="4" t="n">
        <f aca="false">IFERROR(__xludf.dummyfunction("countunique(iferror(filter('Asignación'!C:C,'Asignación'!A:A=A17),{1,2,3,4,5,6,7,8,9,10,11,12,13,14}))"),14)</f>
        <v>14</v>
      </c>
      <c r="O17" s="9" t="n">
        <f aca="false">IFERROR(__xludf.dummyfunction("iferror(match(O$1,SPLIT($M17,"",""),0)&gt;0,false)"),1)</f>
        <v>1</v>
      </c>
      <c r="P17" s="9" t="n">
        <f aca="false">IFERROR(__xludf.dummyfunction("iferror(match(O$1,SPLIT($M17,"",""),0)&gt;0,false)"),1)</f>
        <v>1</v>
      </c>
      <c r="Q17" s="9" t="n">
        <f aca="false">IFERROR(__xludf.dummyfunction("iferror(match(O$1,SPLIT($M17,"",""),0)&gt;0,false)"),1)</f>
        <v>1</v>
      </c>
      <c r="R17" s="9" t="n">
        <f aca="false">IFERROR(__xludf.dummyfunction("iferror(match(O$1,SPLIT($M17,"",""),0)&gt;0,false)"),1)</f>
        <v>1</v>
      </c>
      <c r="S17" s="9" t="n">
        <f aca="false">IFERROR(__xludf.dummyfunction("iferror(match(O$1,SPLIT($M17,"",""),0)&gt;0,false)"),1)</f>
        <v>1</v>
      </c>
      <c r="T17" s="9" t="n">
        <f aca="false">IFERROR(__xludf.dummyfunction("iferror(match(O$1,SPLIT($M17,"",""),0)&gt;0,false)"),1)</f>
        <v>1</v>
      </c>
      <c r="U17" s="9" t="n">
        <f aca="false">IFERROR(__xludf.dummyfunction("iferror(match(O$1,SPLIT($M17,"",""),0)&gt;0,false)"),1)</f>
        <v>1</v>
      </c>
      <c r="V17" s="9" t="n">
        <f aca="false">IFERROR(__xludf.dummyfunction("iferror(match(O$1,SPLIT($M17,"",""),0)&gt;0,false)"),1)</f>
        <v>1</v>
      </c>
      <c r="W17" s="9" t="n">
        <f aca="false">IFERROR(__xludf.dummyfunction("iferror(match(O$1,SPLIT($M17,"",""),0)&gt;0,false)"),1)</f>
        <v>1</v>
      </c>
      <c r="X17" s="9" t="n">
        <f aca="false">IFERROR(__xludf.dummyfunction("iferror(match(O$1,SPLIT($M17,"",""),0)&gt;0,false)"),1)</f>
        <v>1</v>
      </c>
      <c r="Y17" s="9" t="n">
        <f aca="false">IFERROR(__xludf.dummyfunction("iferror(match(O$1,SPLIT($M17,"",""),0)&gt;0,false)"),1)</f>
        <v>1</v>
      </c>
      <c r="Z17" s="9" t="n">
        <f aca="false">IFERROR(__xludf.dummyfunction("iferror(match(O$1,SPLIT($M17,"",""),0)&gt;0,false)"),1)</f>
        <v>1</v>
      </c>
      <c r="AA17" s="9" t="n">
        <f aca="false">IFERROR(__xludf.dummyfunction("iferror(match(O$1,SPLIT($M17,"",""),0)&gt;0,false)"),1)</f>
        <v>1</v>
      </c>
      <c r="AB17" s="9" t="n">
        <f aca="false">IFERROR(__xludf.dummyfunction("iferror(match(O$1,SPLIT($M17,"",""),0)&gt;0,false)"),1)</f>
        <v>1</v>
      </c>
      <c r="AC17" s="4" t="s">
        <v>18</v>
      </c>
    </row>
    <row r="18" customFormat="false" ht="15.75" hidden="false" customHeight="true" outlineLevel="0" collapsed="false">
      <c r="A18" s="4" t="n">
        <v>1101</v>
      </c>
      <c r="B18" s="4" t="s">
        <v>49</v>
      </c>
      <c r="C18" s="5" t="s">
        <v>50</v>
      </c>
      <c r="D18" s="6" t="n">
        <v>500</v>
      </c>
      <c r="E18" s="6"/>
      <c r="F18" s="7" t="n">
        <f aca="false">IFERROR(__xludf.dummyfunction("COUNT(FILTER(Ingredientes!A:A,Ingredientes!A:A=A18))"),4)</f>
        <v>4</v>
      </c>
      <c r="G18" s="7" t="n">
        <f aca="false">IFERROR(__xludf.dummyfunction("COUNT(FILTER(Ingredientes!A:A,Ingredientes!C:C=A18))"),2)</f>
        <v>2</v>
      </c>
      <c r="H18" s="7" t="n">
        <v>3</v>
      </c>
      <c r="I18" s="4" t="n">
        <v>1</v>
      </c>
      <c r="J18" s="4" t="s">
        <v>17</v>
      </c>
      <c r="K18" s="7" t="n">
        <v>10</v>
      </c>
      <c r="L18" s="7" t="n">
        <v>40</v>
      </c>
      <c r="M18" s="8" t="str">
        <f aca="false">IFERROR(__xludf.dummyfunction("JOIN("","", iferror(filter('Asignación'!C:C,'Asignación'!A:A=A18),{1,2,3,4,5,6,7,8,9,10,11,12,13,14}))"),"1,2,3,4,5,6,7,8,9,10,11,12,13,14")</f>
        <v>1,2,3,4,5,6,7,8,9,10,11,12,13,14</v>
      </c>
      <c r="N18" s="4" t="n">
        <f aca="false">IFERROR(__xludf.dummyfunction("countunique(iferror(filter('Asignación'!C:C,'Asignación'!A:A=A18),{1,2,3,4,5,6,7,8,9,10,11,12,13,14}))"),14)</f>
        <v>14</v>
      </c>
      <c r="O18" s="9" t="n">
        <f aca="false">IFERROR(__xludf.dummyfunction("iferror(match(O$1,SPLIT($M18,"",""),0)&gt;0,false)"),1)</f>
        <v>1</v>
      </c>
      <c r="P18" s="9" t="n">
        <f aca="false">IFERROR(__xludf.dummyfunction("iferror(match(O$1,SPLIT($M18,"",""),0)&gt;0,false)"),1)</f>
        <v>1</v>
      </c>
      <c r="Q18" s="9" t="n">
        <f aca="false">IFERROR(__xludf.dummyfunction("iferror(match(O$1,SPLIT($M18,"",""),0)&gt;0,false)"),1)</f>
        <v>1</v>
      </c>
      <c r="R18" s="9" t="n">
        <f aca="false">IFERROR(__xludf.dummyfunction("iferror(match(O$1,SPLIT($M18,"",""),0)&gt;0,false)"),1)</f>
        <v>1</v>
      </c>
      <c r="S18" s="9" t="n">
        <f aca="false">IFERROR(__xludf.dummyfunction("iferror(match(O$1,SPLIT($M18,"",""),0)&gt;0,false)"),1)</f>
        <v>1</v>
      </c>
      <c r="T18" s="9" t="n">
        <f aca="false">IFERROR(__xludf.dummyfunction("iferror(match(O$1,SPLIT($M18,"",""),0)&gt;0,false)"),1)</f>
        <v>1</v>
      </c>
      <c r="U18" s="9" t="n">
        <f aca="false">IFERROR(__xludf.dummyfunction("iferror(match(O$1,SPLIT($M18,"",""),0)&gt;0,false)"),1)</f>
        <v>1</v>
      </c>
      <c r="V18" s="9" t="n">
        <f aca="false">IFERROR(__xludf.dummyfunction("iferror(match(O$1,SPLIT($M18,"",""),0)&gt;0,false)"),1)</f>
        <v>1</v>
      </c>
      <c r="W18" s="9" t="n">
        <f aca="false">IFERROR(__xludf.dummyfunction("iferror(match(O$1,SPLIT($M18,"",""),0)&gt;0,false)"),1)</f>
        <v>1</v>
      </c>
      <c r="X18" s="9" t="n">
        <f aca="false">IFERROR(__xludf.dummyfunction("iferror(match(O$1,SPLIT($M18,"",""),0)&gt;0,false)"),1)</f>
        <v>1</v>
      </c>
      <c r="Y18" s="9" t="n">
        <f aca="false">IFERROR(__xludf.dummyfunction("iferror(match(O$1,SPLIT($M18,"",""),0)&gt;0,false)"),1)</f>
        <v>1</v>
      </c>
      <c r="Z18" s="9" t="n">
        <f aca="false">IFERROR(__xludf.dummyfunction("iferror(match(O$1,SPLIT($M18,"",""),0)&gt;0,false)"),1)</f>
        <v>1</v>
      </c>
      <c r="AA18" s="9" t="n">
        <f aca="false">IFERROR(__xludf.dummyfunction("iferror(match(O$1,SPLIT($M18,"",""),0)&gt;0,false)"),1)</f>
        <v>1</v>
      </c>
      <c r="AB18" s="9" t="n">
        <f aca="false">IFERROR(__xludf.dummyfunction("iferror(match(O$1,SPLIT($M18,"",""),0)&gt;0,false)"),1)</f>
        <v>1</v>
      </c>
      <c r="AC18" s="4" t="s">
        <v>18</v>
      </c>
    </row>
    <row r="19" customFormat="false" ht="15.75" hidden="false" customHeight="true" outlineLevel="0" collapsed="false">
      <c r="A19" s="4" t="n">
        <v>1105</v>
      </c>
      <c r="B19" s="4" t="s">
        <v>51</v>
      </c>
      <c r="C19" s="5" t="s">
        <v>52</v>
      </c>
      <c r="D19" s="6" t="n">
        <v>10</v>
      </c>
      <c r="E19" s="6"/>
      <c r="F19" s="7" t="n">
        <f aca="false">IFERROR(__xludf.dummyfunction("COUNT(FILTER(Ingredientes!A:A,Ingredientes!A:A=A19))"),1)</f>
        <v>1</v>
      </c>
      <c r="G19" s="7" t="n">
        <f aca="false">IFERROR(__xludf.dummyfunction("COUNT(FILTER(Ingredientes!A:A,Ingredientes!C:C=A19))"),5)</f>
        <v>5</v>
      </c>
      <c r="H19" s="7" t="n">
        <v>3</v>
      </c>
      <c r="I19" s="4" t="n">
        <v>1</v>
      </c>
      <c r="J19" s="4" t="s">
        <v>28</v>
      </c>
      <c r="K19" s="7" t="n">
        <v>10</v>
      </c>
      <c r="L19" s="7" t="n">
        <v>10</v>
      </c>
      <c r="M19" s="8" t="str">
        <f aca="false">IFERROR(__xludf.dummyfunction("JOIN("","", iferror(filter('Asignación'!C:C,'Asignación'!A:A=A19),{1,2,3,4,5,6,7,8,9,10,11,12,13,14}))"),"1,2,3,4,5,6,7,8,9,10,11,12,13,14")</f>
        <v>1,2,3,4,5,6,7,8,9,10,11,12,13,14</v>
      </c>
      <c r="N19" s="4" t="n">
        <f aca="false">IFERROR(__xludf.dummyfunction("countunique(iferror(filter('Asignación'!C:C,'Asignación'!A:A=A19),{1,2,3,4,5,6,7,8,9,10,11,12,13,14}))"),14)</f>
        <v>14</v>
      </c>
      <c r="O19" s="9" t="n">
        <f aca="false">IFERROR(__xludf.dummyfunction("iferror(match(O$1,SPLIT($M19,"",""),0)&gt;0,false)"),1)</f>
        <v>1</v>
      </c>
      <c r="P19" s="9" t="n">
        <f aca="false">IFERROR(__xludf.dummyfunction("iferror(match(O$1,SPLIT($M19,"",""),0)&gt;0,false)"),1)</f>
        <v>1</v>
      </c>
      <c r="Q19" s="9" t="n">
        <f aca="false">IFERROR(__xludf.dummyfunction("iferror(match(O$1,SPLIT($M19,"",""),0)&gt;0,false)"),1)</f>
        <v>1</v>
      </c>
      <c r="R19" s="9" t="n">
        <f aca="false">IFERROR(__xludf.dummyfunction("iferror(match(O$1,SPLIT($M19,"",""),0)&gt;0,false)"),1)</f>
        <v>1</v>
      </c>
      <c r="S19" s="9" t="n">
        <f aca="false">IFERROR(__xludf.dummyfunction("iferror(match(O$1,SPLIT($M19,"",""),0)&gt;0,false)"),1)</f>
        <v>1</v>
      </c>
      <c r="T19" s="9" t="n">
        <f aca="false">IFERROR(__xludf.dummyfunction("iferror(match(O$1,SPLIT($M19,"",""),0)&gt;0,false)"),1)</f>
        <v>1</v>
      </c>
      <c r="U19" s="9" t="n">
        <f aca="false">IFERROR(__xludf.dummyfunction("iferror(match(O$1,SPLIT($M19,"",""),0)&gt;0,false)"),1)</f>
        <v>1</v>
      </c>
      <c r="V19" s="9" t="n">
        <f aca="false">IFERROR(__xludf.dummyfunction("iferror(match(O$1,SPLIT($M19,"",""),0)&gt;0,false)"),1)</f>
        <v>1</v>
      </c>
      <c r="W19" s="9" t="n">
        <f aca="false">IFERROR(__xludf.dummyfunction("iferror(match(O$1,SPLIT($M19,"",""),0)&gt;0,false)"),1)</f>
        <v>1</v>
      </c>
      <c r="X19" s="9" t="n">
        <f aca="false">IFERROR(__xludf.dummyfunction("iferror(match(O$1,SPLIT($M19,"",""),0)&gt;0,false)"),1)</f>
        <v>1</v>
      </c>
      <c r="Y19" s="9" t="n">
        <f aca="false">IFERROR(__xludf.dummyfunction("iferror(match(O$1,SPLIT($M19,"",""),0)&gt;0,false)"),1)</f>
        <v>1</v>
      </c>
      <c r="Z19" s="9" t="n">
        <f aca="false">IFERROR(__xludf.dummyfunction("iferror(match(O$1,SPLIT($M19,"",""),0)&gt;0,false)"),1)</f>
        <v>1</v>
      </c>
      <c r="AA19" s="9" t="n">
        <f aca="false">IFERROR(__xludf.dummyfunction("iferror(match(O$1,SPLIT($M19,"",""),0)&gt;0,false)"),1)</f>
        <v>1</v>
      </c>
      <c r="AB19" s="9" t="n">
        <f aca="false">IFERROR(__xludf.dummyfunction("iferror(match(O$1,SPLIT($M19,"",""),0)&gt;0,false)"),1)</f>
        <v>1</v>
      </c>
      <c r="AC19" s="4" t="s">
        <v>18</v>
      </c>
    </row>
    <row r="20" customFormat="false" ht="15.75" hidden="false" customHeight="true" outlineLevel="0" collapsed="false">
      <c r="A20" s="4" t="n">
        <v>1106</v>
      </c>
      <c r="B20" s="4" t="s">
        <v>53</v>
      </c>
      <c r="C20" s="5" t="s">
        <v>54</v>
      </c>
      <c r="D20" s="6" t="n">
        <v>700</v>
      </c>
      <c r="E20" s="6"/>
      <c r="F20" s="7" t="n">
        <f aca="false">IFERROR(__xludf.dummyfunction("COUNT(FILTER(Ingredientes!A:A,Ingredientes!A:A=A20))"),1)</f>
        <v>1</v>
      </c>
      <c r="G20" s="7" t="n">
        <f aca="false">IFERROR(__xludf.dummyfunction("COUNT(FILTER(Ingredientes!A:A,Ingredientes!C:C=A20))"),10)</f>
        <v>10</v>
      </c>
      <c r="H20" s="7" t="n">
        <v>4</v>
      </c>
      <c r="I20" s="4" t="n">
        <v>1</v>
      </c>
      <c r="J20" s="4" t="s">
        <v>28</v>
      </c>
      <c r="K20" s="7" t="n">
        <v>100</v>
      </c>
      <c r="L20" s="7" t="n">
        <v>30</v>
      </c>
      <c r="M20" s="8" t="str">
        <f aca="false">IFERROR(__xludf.dummyfunction("JOIN("","", iferror(filter('Asignación'!C:C,'Asignación'!A:A=A20),{1,2,3,4,5,6,7,8,9,10,11,12,13,14}))"),"1,2,3,4,5,6,7,8,9,10,11,12,13,14")</f>
        <v>1,2,3,4,5,6,7,8,9,10,11,12,13,14</v>
      </c>
      <c r="N20" s="4" t="n">
        <f aca="false">IFERROR(__xludf.dummyfunction("countunique(iferror(filter('Asignación'!C:C,'Asignación'!A:A=A20),{1,2,3,4,5,6,7,8,9,10,11,12,13,14}))"),14)</f>
        <v>14</v>
      </c>
      <c r="O20" s="9" t="n">
        <f aca="false">IFERROR(__xludf.dummyfunction("iferror(match(O$1,SPLIT($M20,"",""),0)&gt;0,false)"),1)</f>
        <v>1</v>
      </c>
      <c r="P20" s="9" t="n">
        <f aca="false">IFERROR(__xludf.dummyfunction("iferror(match(O$1,SPLIT($M20,"",""),0)&gt;0,false)"),1)</f>
        <v>1</v>
      </c>
      <c r="Q20" s="9" t="n">
        <f aca="false">IFERROR(__xludf.dummyfunction("iferror(match(O$1,SPLIT($M20,"",""),0)&gt;0,false)"),1)</f>
        <v>1</v>
      </c>
      <c r="R20" s="9" t="n">
        <f aca="false">IFERROR(__xludf.dummyfunction("iferror(match(O$1,SPLIT($M20,"",""),0)&gt;0,false)"),1)</f>
        <v>1</v>
      </c>
      <c r="S20" s="9" t="n">
        <f aca="false">IFERROR(__xludf.dummyfunction("iferror(match(O$1,SPLIT($M20,"",""),0)&gt;0,false)"),1)</f>
        <v>1</v>
      </c>
      <c r="T20" s="9" t="n">
        <f aca="false">IFERROR(__xludf.dummyfunction("iferror(match(O$1,SPLIT($M20,"",""),0)&gt;0,false)"),1)</f>
        <v>1</v>
      </c>
      <c r="U20" s="9" t="n">
        <f aca="false">IFERROR(__xludf.dummyfunction("iferror(match(O$1,SPLIT($M20,"",""),0)&gt;0,false)"),1)</f>
        <v>1</v>
      </c>
      <c r="V20" s="9" t="n">
        <f aca="false">IFERROR(__xludf.dummyfunction("iferror(match(O$1,SPLIT($M20,"",""),0)&gt;0,false)"),1)</f>
        <v>1</v>
      </c>
      <c r="W20" s="9" t="n">
        <f aca="false">IFERROR(__xludf.dummyfunction("iferror(match(O$1,SPLIT($M20,"",""),0)&gt;0,false)"),1)</f>
        <v>1</v>
      </c>
      <c r="X20" s="9" t="n">
        <f aca="false">IFERROR(__xludf.dummyfunction("iferror(match(O$1,SPLIT($M20,"",""),0)&gt;0,false)"),1)</f>
        <v>1</v>
      </c>
      <c r="Y20" s="9" t="n">
        <f aca="false">IFERROR(__xludf.dummyfunction("iferror(match(O$1,SPLIT($M20,"",""),0)&gt;0,false)"),1)</f>
        <v>1</v>
      </c>
      <c r="Z20" s="9" t="n">
        <f aca="false">IFERROR(__xludf.dummyfunction("iferror(match(O$1,SPLIT($M20,"",""),0)&gt;0,false)"),1)</f>
        <v>1</v>
      </c>
      <c r="AA20" s="9" t="n">
        <f aca="false">IFERROR(__xludf.dummyfunction("iferror(match(O$1,SPLIT($M20,"",""),0)&gt;0,false)"),1)</f>
        <v>1</v>
      </c>
      <c r="AB20" s="9" t="n">
        <f aca="false">IFERROR(__xludf.dummyfunction("iferror(match(O$1,SPLIT($M20,"",""),0)&gt;0,false)"),1)</f>
        <v>1</v>
      </c>
      <c r="AC20" s="4" t="s">
        <v>18</v>
      </c>
    </row>
    <row r="21" customFormat="false" ht="15.75" hidden="false" customHeight="true" outlineLevel="0" collapsed="false">
      <c r="A21" s="4" t="n">
        <v>1107</v>
      </c>
      <c r="B21" s="4" t="s">
        <v>55</v>
      </c>
      <c r="C21" s="5" t="s">
        <v>56</v>
      </c>
      <c r="D21" s="6" t="n">
        <v>10</v>
      </c>
      <c r="E21" s="6"/>
      <c r="F21" s="7" t="n">
        <f aca="false">IFERROR(__xludf.dummyfunction("COUNT(FILTER(Ingredientes!A:A,Ingredientes!A:A=A21))"),1)</f>
        <v>1</v>
      </c>
      <c r="G21" s="7" t="n">
        <f aca="false">IFERROR(__xludf.dummyfunction("COUNT(FILTER(Ingredientes!A:A,Ingredientes!C:C=A21))"),5)</f>
        <v>5</v>
      </c>
      <c r="H21" s="7" t="n">
        <v>2</v>
      </c>
      <c r="I21" s="4" t="n">
        <v>1</v>
      </c>
      <c r="J21" s="4" t="s">
        <v>28</v>
      </c>
      <c r="K21" s="7" t="n">
        <v>11</v>
      </c>
      <c r="L21" s="7" t="n">
        <v>20</v>
      </c>
      <c r="M21" s="8" t="str">
        <f aca="false">IFERROR(__xludf.dummyfunction("JOIN("","", iferror(filter('Asignación'!C:C,'Asignación'!A:A=A21),{1,2,3,4,5,6,7,8,9,10,11,12,13,14}))"),"1,2,3,4,5,6,7,8,9,10,11,12,13,14")</f>
        <v>1,2,3,4,5,6,7,8,9,10,11,12,13,14</v>
      </c>
      <c r="N21" s="4" t="n">
        <f aca="false">IFERROR(__xludf.dummyfunction("countunique(iferror(filter('Asignación'!C:C,'Asignación'!A:A=A21),{1,2,3,4,5,6,7,8,9,10,11,12,13,14}))"),14)</f>
        <v>14</v>
      </c>
      <c r="O21" s="9" t="n">
        <f aca="false">IFERROR(__xludf.dummyfunction("iferror(match(O$1,SPLIT($M21,"",""),0)&gt;0,false)"),1)</f>
        <v>1</v>
      </c>
      <c r="P21" s="9" t="n">
        <f aca="false">IFERROR(__xludf.dummyfunction("iferror(match(O$1,SPLIT($M21,"",""),0)&gt;0,false)"),1)</f>
        <v>1</v>
      </c>
      <c r="Q21" s="9" t="n">
        <f aca="false">IFERROR(__xludf.dummyfunction("iferror(match(O$1,SPLIT($M21,"",""),0)&gt;0,false)"),1)</f>
        <v>1</v>
      </c>
      <c r="R21" s="9" t="n">
        <f aca="false">IFERROR(__xludf.dummyfunction("iferror(match(O$1,SPLIT($M21,"",""),0)&gt;0,false)"),1)</f>
        <v>1</v>
      </c>
      <c r="S21" s="9" t="n">
        <f aca="false">IFERROR(__xludf.dummyfunction("iferror(match(O$1,SPLIT($M21,"",""),0)&gt;0,false)"),1)</f>
        <v>1</v>
      </c>
      <c r="T21" s="9" t="n">
        <f aca="false">IFERROR(__xludf.dummyfunction("iferror(match(O$1,SPLIT($M21,"",""),0)&gt;0,false)"),1)</f>
        <v>1</v>
      </c>
      <c r="U21" s="9" t="n">
        <f aca="false">IFERROR(__xludf.dummyfunction("iferror(match(O$1,SPLIT($M21,"",""),0)&gt;0,false)"),1)</f>
        <v>1</v>
      </c>
      <c r="V21" s="9" t="n">
        <f aca="false">IFERROR(__xludf.dummyfunction("iferror(match(O$1,SPLIT($M21,"",""),0)&gt;0,false)"),1)</f>
        <v>1</v>
      </c>
      <c r="W21" s="9" t="n">
        <f aca="false">IFERROR(__xludf.dummyfunction("iferror(match(O$1,SPLIT($M21,"",""),0)&gt;0,false)"),1)</f>
        <v>1</v>
      </c>
      <c r="X21" s="9" t="n">
        <f aca="false">IFERROR(__xludf.dummyfunction("iferror(match(O$1,SPLIT($M21,"",""),0)&gt;0,false)"),1)</f>
        <v>1</v>
      </c>
      <c r="Y21" s="9" t="n">
        <f aca="false">IFERROR(__xludf.dummyfunction("iferror(match(O$1,SPLIT($M21,"",""),0)&gt;0,false)"),1)</f>
        <v>1</v>
      </c>
      <c r="Z21" s="9" t="n">
        <f aca="false">IFERROR(__xludf.dummyfunction("iferror(match(O$1,SPLIT($M21,"",""),0)&gt;0,false)"),1)</f>
        <v>1</v>
      </c>
      <c r="AA21" s="9" t="n">
        <f aca="false">IFERROR(__xludf.dummyfunction("iferror(match(O$1,SPLIT($M21,"",""),0)&gt;0,false)"),1)</f>
        <v>1</v>
      </c>
      <c r="AB21" s="9" t="n">
        <f aca="false">IFERROR(__xludf.dummyfunction("iferror(match(O$1,SPLIT($M21,"",""),0)&gt;0,false)"),1)</f>
        <v>1</v>
      </c>
      <c r="AC21" s="4" t="s">
        <v>18</v>
      </c>
    </row>
    <row r="22" customFormat="false" ht="15.75" hidden="false" customHeight="true" outlineLevel="0" collapsed="false">
      <c r="A22" s="4" t="n">
        <v>1108</v>
      </c>
      <c r="B22" s="4" t="s">
        <v>57</v>
      </c>
      <c r="C22" s="5" t="s">
        <v>58</v>
      </c>
      <c r="D22" s="6" t="n">
        <v>10</v>
      </c>
      <c r="E22" s="6"/>
      <c r="F22" s="7" t="n">
        <f aca="false">IFERROR(__xludf.dummyfunction("COUNT(FILTER(Ingredientes!A:A,Ingredientes!A:A=A22))"),1)</f>
        <v>1</v>
      </c>
      <c r="G22" s="7" t="n">
        <f aca="false">IFERROR(__xludf.dummyfunction("COUNT(FILTER(Ingredientes!A:A,Ingredientes!C:C=A22))"),1)</f>
        <v>1</v>
      </c>
      <c r="H22" s="7" t="n">
        <v>4</v>
      </c>
      <c r="I22" s="4" t="n">
        <v>1</v>
      </c>
      <c r="J22" s="4" t="s">
        <v>28</v>
      </c>
      <c r="K22" s="7" t="n">
        <v>6</v>
      </c>
      <c r="L22" s="7" t="n">
        <v>20</v>
      </c>
      <c r="M22" s="8" t="str">
        <f aca="false">IFERROR(__xludf.dummyfunction("JOIN("","", iferror(filter('Asignación'!C:C,'Asignación'!A:A=A22),{1,2,3,4,5,6,7,8,9,10,11,12,13,14}))"),"1,2,3,4,5,6,7,8,9,10,11,12,13,14")</f>
        <v>1,2,3,4,5,6,7,8,9,10,11,12,13,14</v>
      </c>
      <c r="N22" s="4" t="n">
        <f aca="false">IFERROR(__xludf.dummyfunction("countunique(iferror(filter('Asignación'!C:C,'Asignación'!A:A=A22),{1,2,3,4,5,6,7,8,9,10,11,12,13,14}))"),14)</f>
        <v>14</v>
      </c>
      <c r="O22" s="9" t="n">
        <f aca="false">IFERROR(__xludf.dummyfunction("iferror(match(O$1,SPLIT($M22,"",""),0)&gt;0,false)"),1)</f>
        <v>1</v>
      </c>
      <c r="P22" s="9" t="n">
        <f aca="false">IFERROR(__xludf.dummyfunction("iferror(match(O$1,SPLIT($M22,"",""),0)&gt;0,false)"),1)</f>
        <v>1</v>
      </c>
      <c r="Q22" s="9" t="n">
        <f aca="false">IFERROR(__xludf.dummyfunction("iferror(match(O$1,SPLIT($M22,"",""),0)&gt;0,false)"),1)</f>
        <v>1</v>
      </c>
      <c r="R22" s="9" t="n">
        <f aca="false">IFERROR(__xludf.dummyfunction("iferror(match(O$1,SPLIT($M22,"",""),0)&gt;0,false)"),1)</f>
        <v>1</v>
      </c>
      <c r="S22" s="9" t="n">
        <f aca="false">IFERROR(__xludf.dummyfunction("iferror(match(O$1,SPLIT($M22,"",""),0)&gt;0,false)"),1)</f>
        <v>1</v>
      </c>
      <c r="T22" s="9" t="n">
        <f aca="false">IFERROR(__xludf.dummyfunction("iferror(match(O$1,SPLIT($M22,"",""),0)&gt;0,false)"),1)</f>
        <v>1</v>
      </c>
      <c r="U22" s="9" t="n">
        <f aca="false">IFERROR(__xludf.dummyfunction("iferror(match(O$1,SPLIT($M22,"",""),0)&gt;0,false)"),1)</f>
        <v>1</v>
      </c>
      <c r="V22" s="9" t="n">
        <f aca="false">IFERROR(__xludf.dummyfunction("iferror(match(O$1,SPLIT($M22,"",""),0)&gt;0,false)"),1)</f>
        <v>1</v>
      </c>
      <c r="W22" s="9" t="n">
        <f aca="false">IFERROR(__xludf.dummyfunction("iferror(match(O$1,SPLIT($M22,"",""),0)&gt;0,false)"),1)</f>
        <v>1</v>
      </c>
      <c r="X22" s="9" t="n">
        <f aca="false">IFERROR(__xludf.dummyfunction("iferror(match(O$1,SPLIT($M22,"",""),0)&gt;0,false)"),1)</f>
        <v>1</v>
      </c>
      <c r="Y22" s="9" t="n">
        <f aca="false">IFERROR(__xludf.dummyfunction("iferror(match(O$1,SPLIT($M22,"",""),0)&gt;0,false)"),1)</f>
        <v>1</v>
      </c>
      <c r="Z22" s="9" t="n">
        <f aca="false">IFERROR(__xludf.dummyfunction("iferror(match(O$1,SPLIT($M22,"",""),0)&gt;0,false)"),1)</f>
        <v>1</v>
      </c>
      <c r="AA22" s="9" t="n">
        <f aca="false">IFERROR(__xludf.dummyfunction("iferror(match(O$1,SPLIT($M22,"",""),0)&gt;0,false)"),1)</f>
        <v>1</v>
      </c>
      <c r="AB22" s="9" t="n">
        <f aca="false">IFERROR(__xludf.dummyfunction("iferror(match(O$1,SPLIT($M22,"",""),0)&gt;0,false)"),1)</f>
        <v>1</v>
      </c>
      <c r="AC22" s="4" t="s">
        <v>18</v>
      </c>
    </row>
    <row r="23" customFormat="false" ht="15.75" hidden="false" customHeight="true" outlineLevel="0" collapsed="false">
      <c r="A23" s="4" t="n">
        <v>1109</v>
      </c>
      <c r="B23" s="4" t="s">
        <v>59</v>
      </c>
      <c r="C23" s="5" t="s">
        <v>60</v>
      </c>
      <c r="D23" s="6" t="n">
        <v>10</v>
      </c>
      <c r="E23" s="6"/>
      <c r="F23" s="7" t="n">
        <f aca="false">IFERROR(__xludf.dummyfunction("COUNT(FILTER(Ingredientes!A:A,Ingredientes!A:A=A23))"),1)</f>
        <v>1</v>
      </c>
      <c r="G23" s="7" t="n">
        <f aca="false">IFERROR(__xludf.dummyfunction("COUNT(FILTER(Ingredientes!A:A,Ingredientes!C:C=A23))"),5)</f>
        <v>5</v>
      </c>
      <c r="H23" s="7" t="n">
        <v>1.5</v>
      </c>
      <c r="I23" s="4" t="n">
        <v>1</v>
      </c>
      <c r="J23" s="4" t="s">
        <v>28</v>
      </c>
      <c r="K23" s="7" t="n">
        <v>12</v>
      </c>
      <c r="L23" s="7" t="n">
        <v>30</v>
      </c>
      <c r="M23" s="8" t="str">
        <f aca="false">IFERROR(__xludf.dummyfunction("JOIN("","", iferror(filter('Asignación'!C:C,'Asignación'!A:A=A23),{1,2,3,4,5,6,7,8,9,10,11,12,13,14}))"),"1,2,3,4,5,6,7,8,9,10,11,12,13,14")</f>
        <v>1,2,3,4,5,6,7,8,9,10,11,12,13,14</v>
      </c>
      <c r="N23" s="4" t="n">
        <f aca="false">IFERROR(__xludf.dummyfunction("countunique(iferror(filter('Asignación'!C:C,'Asignación'!A:A=A23),{1,2,3,4,5,6,7,8,9,10,11,12,13,14}))"),14)</f>
        <v>14</v>
      </c>
      <c r="O23" s="9" t="n">
        <f aca="false">IFERROR(__xludf.dummyfunction("iferror(match(O$1,SPLIT($M23,"",""),0)&gt;0,false)"),1)</f>
        <v>1</v>
      </c>
      <c r="P23" s="9" t="n">
        <f aca="false">IFERROR(__xludf.dummyfunction("iferror(match(O$1,SPLIT($M23,"",""),0)&gt;0,false)"),1)</f>
        <v>1</v>
      </c>
      <c r="Q23" s="9" t="n">
        <f aca="false">IFERROR(__xludf.dummyfunction("iferror(match(O$1,SPLIT($M23,"",""),0)&gt;0,false)"),1)</f>
        <v>1</v>
      </c>
      <c r="R23" s="9" t="n">
        <f aca="false">IFERROR(__xludf.dummyfunction("iferror(match(O$1,SPLIT($M23,"",""),0)&gt;0,false)"),1)</f>
        <v>1</v>
      </c>
      <c r="S23" s="9" t="n">
        <f aca="false">IFERROR(__xludf.dummyfunction("iferror(match(O$1,SPLIT($M23,"",""),0)&gt;0,false)"),1)</f>
        <v>1</v>
      </c>
      <c r="T23" s="9" t="n">
        <f aca="false">IFERROR(__xludf.dummyfunction("iferror(match(O$1,SPLIT($M23,"",""),0)&gt;0,false)"),1)</f>
        <v>1</v>
      </c>
      <c r="U23" s="9" t="n">
        <f aca="false">IFERROR(__xludf.dummyfunction("iferror(match(O$1,SPLIT($M23,"",""),0)&gt;0,false)"),1)</f>
        <v>1</v>
      </c>
      <c r="V23" s="9" t="n">
        <f aca="false">IFERROR(__xludf.dummyfunction("iferror(match(O$1,SPLIT($M23,"",""),0)&gt;0,false)"),1)</f>
        <v>1</v>
      </c>
      <c r="W23" s="9" t="n">
        <f aca="false">IFERROR(__xludf.dummyfunction("iferror(match(O$1,SPLIT($M23,"",""),0)&gt;0,false)"),1)</f>
        <v>1</v>
      </c>
      <c r="X23" s="9" t="n">
        <f aca="false">IFERROR(__xludf.dummyfunction("iferror(match(O$1,SPLIT($M23,"",""),0)&gt;0,false)"),1)</f>
        <v>1</v>
      </c>
      <c r="Y23" s="9" t="n">
        <f aca="false">IFERROR(__xludf.dummyfunction("iferror(match(O$1,SPLIT($M23,"",""),0)&gt;0,false)"),1)</f>
        <v>1</v>
      </c>
      <c r="Z23" s="9" t="n">
        <f aca="false">IFERROR(__xludf.dummyfunction("iferror(match(O$1,SPLIT($M23,"",""),0)&gt;0,false)"),1)</f>
        <v>1</v>
      </c>
      <c r="AA23" s="9" t="n">
        <f aca="false">IFERROR(__xludf.dummyfunction("iferror(match(O$1,SPLIT($M23,"",""),0)&gt;0,false)"),1)</f>
        <v>1</v>
      </c>
      <c r="AB23" s="9" t="n">
        <f aca="false">IFERROR(__xludf.dummyfunction("iferror(match(O$1,SPLIT($M23,"",""),0)&gt;0,false)"),1)</f>
        <v>1</v>
      </c>
      <c r="AC23" s="4" t="s">
        <v>18</v>
      </c>
    </row>
    <row r="24" customFormat="false" ht="15.75" hidden="false" customHeight="true" outlineLevel="0" collapsed="false">
      <c r="A24" s="4" t="n">
        <v>1110</v>
      </c>
      <c r="B24" s="4" t="s">
        <v>61</v>
      </c>
      <c r="C24" s="5" t="s">
        <v>62</v>
      </c>
      <c r="D24" s="6" t="n">
        <v>10</v>
      </c>
      <c r="E24" s="6"/>
      <c r="F24" s="7" t="n">
        <f aca="false">IFERROR(__xludf.dummyfunction("COUNT(FILTER(Ingredientes!A:A,Ingredientes!A:A=A24))"),1)</f>
        <v>1</v>
      </c>
      <c r="G24" s="7" t="n">
        <f aca="false">IFERROR(__xludf.dummyfunction("COUNT(FILTER(Ingredientes!A:A,Ingredientes!C:C=A24))"),8)</f>
        <v>8</v>
      </c>
      <c r="H24" s="7" t="n">
        <v>2</v>
      </c>
      <c r="I24" s="4" t="n">
        <v>1</v>
      </c>
      <c r="J24" s="4" t="s">
        <v>28</v>
      </c>
      <c r="K24" s="7" t="n">
        <v>6</v>
      </c>
      <c r="L24" s="7" t="n">
        <v>10</v>
      </c>
      <c r="M24" s="8" t="str">
        <f aca="false">IFERROR(__xludf.dummyfunction("JOIN("","", iferror(filter('Asignación'!C:C,'Asignación'!A:A=A24),{1,2,3,4,5,6,7,8,9,10,11,12,13,14}))"),"1,2,3,4,5,6,7,8,9,10,11,12,13,14")</f>
        <v>1,2,3,4,5,6,7,8,9,10,11,12,13,14</v>
      </c>
      <c r="N24" s="4" t="n">
        <f aca="false">IFERROR(__xludf.dummyfunction("countunique(iferror(filter('Asignación'!C:C,'Asignación'!A:A=A24),{1,2,3,4,5,6,7,8,9,10,11,12,13,14}))"),14)</f>
        <v>14</v>
      </c>
      <c r="O24" s="9" t="n">
        <f aca="false">IFERROR(__xludf.dummyfunction("iferror(match(O$1,SPLIT($M24,"",""),0)&gt;0,false)"),1)</f>
        <v>1</v>
      </c>
      <c r="P24" s="9" t="n">
        <f aca="false">IFERROR(__xludf.dummyfunction("iferror(match(O$1,SPLIT($M24,"",""),0)&gt;0,false)"),1)</f>
        <v>1</v>
      </c>
      <c r="Q24" s="9" t="n">
        <f aca="false">IFERROR(__xludf.dummyfunction("iferror(match(O$1,SPLIT($M24,"",""),0)&gt;0,false)"),1)</f>
        <v>1</v>
      </c>
      <c r="R24" s="9" t="n">
        <f aca="false">IFERROR(__xludf.dummyfunction("iferror(match(O$1,SPLIT($M24,"",""),0)&gt;0,false)"),1)</f>
        <v>1</v>
      </c>
      <c r="S24" s="9" t="n">
        <f aca="false">IFERROR(__xludf.dummyfunction("iferror(match(O$1,SPLIT($M24,"",""),0)&gt;0,false)"),1)</f>
        <v>1</v>
      </c>
      <c r="T24" s="9" t="n">
        <f aca="false">IFERROR(__xludf.dummyfunction("iferror(match(O$1,SPLIT($M24,"",""),0)&gt;0,false)"),1)</f>
        <v>1</v>
      </c>
      <c r="U24" s="9" t="n">
        <f aca="false">IFERROR(__xludf.dummyfunction("iferror(match(O$1,SPLIT($M24,"",""),0)&gt;0,false)"),1)</f>
        <v>1</v>
      </c>
      <c r="V24" s="9" t="n">
        <f aca="false">IFERROR(__xludf.dummyfunction("iferror(match(O$1,SPLIT($M24,"",""),0)&gt;0,false)"),1)</f>
        <v>1</v>
      </c>
      <c r="W24" s="9" t="n">
        <f aca="false">IFERROR(__xludf.dummyfunction("iferror(match(O$1,SPLIT($M24,"",""),0)&gt;0,false)"),1)</f>
        <v>1</v>
      </c>
      <c r="X24" s="9" t="n">
        <f aca="false">IFERROR(__xludf.dummyfunction("iferror(match(O$1,SPLIT($M24,"",""),0)&gt;0,false)"),1)</f>
        <v>1</v>
      </c>
      <c r="Y24" s="9" t="n">
        <f aca="false">IFERROR(__xludf.dummyfunction("iferror(match(O$1,SPLIT($M24,"",""),0)&gt;0,false)"),1)</f>
        <v>1</v>
      </c>
      <c r="Z24" s="9" t="n">
        <f aca="false">IFERROR(__xludf.dummyfunction("iferror(match(O$1,SPLIT($M24,"",""),0)&gt;0,false)"),1)</f>
        <v>1</v>
      </c>
      <c r="AA24" s="9" t="n">
        <f aca="false">IFERROR(__xludf.dummyfunction("iferror(match(O$1,SPLIT($M24,"",""),0)&gt;0,false)"),1)</f>
        <v>1</v>
      </c>
      <c r="AB24" s="9" t="n">
        <f aca="false">IFERROR(__xludf.dummyfunction("iferror(match(O$1,SPLIT($M24,"",""),0)&gt;0,false)"),1)</f>
        <v>1</v>
      </c>
      <c r="AC24" s="4" t="s">
        <v>18</v>
      </c>
    </row>
    <row r="25" customFormat="false" ht="15.75" hidden="false" customHeight="true" outlineLevel="0" collapsed="false">
      <c r="A25" s="4" t="n">
        <v>1111</v>
      </c>
      <c r="B25" s="4" t="s">
        <v>63</v>
      </c>
      <c r="C25" s="5" t="s">
        <v>63</v>
      </c>
      <c r="D25" s="6" t="n">
        <v>120</v>
      </c>
      <c r="E25" s="6"/>
      <c r="F25" s="7" t="n">
        <f aca="false">IFERROR(__xludf.dummyfunction("COUNT(FILTER(Ingredientes!A:A,Ingredientes!A:A=A25))"),1)</f>
        <v>1</v>
      </c>
      <c r="G25" s="7" t="n">
        <f aca="false">IFERROR(__xludf.dummyfunction("COUNT(FILTER(Ingredientes!A:A,Ingredientes!C:C=A25))"),1)</f>
        <v>1</v>
      </c>
      <c r="H25" s="7" t="n">
        <v>12</v>
      </c>
      <c r="I25" s="4" t="n">
        <v>0.5</v>
      </c>
      <c r="J25" s="4" t="s">
        <v>17</v>
      </c>
      <c r="K25" s="7" t="n">
        <v>2</v>
      </c>
      <c r="L25" s="7" t="n">
        <v>30</v>
      </c>
      <c r="M25" s="8" t="str">
        <f aca="false">IFERROR(__xludf.dummyfunction("JOIN("","", iferror(filter('Asignación'!C:C,'Asignación'!A:A=A25),{1,2,3,4,5,6,7,8,9,10,11,12,13,14}))"),"1,2,3,4,5,6,7,8,9,10,11,12,13,14")</f>
        <v>1,2,3,4,5,6,7,8,9,10,11,12,13,14</v>
      </c>
      <c r="N25" s="4" t="n">
        <f aca="false">IFERROR(__xludf.dummyfunction("countunique(iferror(filter('Asignación'!C:C,'Asignación'!A:A=A25),{1,2,3,4,5,6,7,8,9,10,11,12,13,14}))"),14)</f>
        <v>14</v>
      </c>
      <c r="O25" s="9" t="n">
        <f aca="false">IFERROR(__xludf.dummyfunction("iferror(match(O$1,SPLIT($M25,"",""),0)&gt;0,false)"),1)</f>
        <v>1</v>
      </c>
      <c r="P25" s="9" t="n">
        <f aca="false">IFERROR(__xludf.dummyfunction("iferror(match(O$1,SPLIT($M25,"",""),0)&gt;0,false)"),1)</f>
        <v>1</v>
      </c>
      <c r="Q25" s="9" t="n">
        <f aca="false">IFERROR(__xludf.dummyfunction("iferror(match(O$1,SPLIT($M25,"",""),0)&gt;0,false)"),1)</f>
        <v>1</v>
      </c>
      <c r="R25" s="9" t="n">
        <f aca="false">IFERROR(__xludf.dummyfunction("iferror(match(O$1,SPLIT($M25,"",""),0)&gt;0,false)"),1)</f>
        <v>1</v>
      </c>
      <c r="S25" s="9" t="n">
        <f aca="false">IFERROR(__xludf.dummyfunction("iferror(match(O$1,SPLIT($M25,"",""),0)&gt;0,false)"),1)</f>
        <v>1</v>
      </c>
      <c r="T25" s="9" t="n">
        <f aca="false">IFERROR(__xludf.dummyfunction("iferror(match(O$1,SPLIT($M25,"",""),0)&gt;0,false)"),1)</f>
        <v>1</v>
      </c>
      <c r="U25" s="9" t="n">
        <f aca="false">IFERROR(__xludf.dummyfunction("iferror(match(O$1,SPLIT($M25,"",""),0)&gt;0,false)"),1)</f>
        <v>1</v>
      </c>
      <c r="V25" s="9" t="n">
        <f aca="false">IFERROR(__xludf.dummyfunction("iferror(match(O$1,SPLIT($M25,"",""),0)&gt;0,false)"),1)</f>
        <v>1</v>
      </c>
      <c r="W25" s="9" t="n">
        <f aca="false">IFERROR(__xludf.dummyfunction("iferror(match(O$1,SPLIT($M25,"",""),0)&gt;0,false)"),1)</f>
        <v>1</v>
      </c>
      <c r="X25" s="9" t="n">
        <f aca="false">IFERROR(__xludf.dummyfunction("iferror(match(O$1,SPLIT($M25,"",""),0)&gt;0,false)"),1)</f>
        <v>1</v>
      </c>
      <c r="Y25" s="9" t="n">
        <f aca="false">IFERROR(__xludf.dummyfunction("iferror(match(O$1,SPLIT($M25,"",""),0)&gt;0,false)"),1)</f>
        <v>1</v>
      </c>
      <c r="Z25" s="9" t="n">
        <f aca="false">IFERROR(__xludf.dummyfunction("iferror(match(O$1,SPLIT($M25,"",""),0)&gt;0,false)"),1)</f>
        <v>1</v>
      </c>
      <c r="AA25" s="9" t="n">
        <f aca="false">IFERROR(__xludf.dummyfunction("iferror(match(O$1,SPLIT($M25,"",""),0)&gt;0,false)"),1)</f>
        <v>1</v>
      </c>
      <c r="AB25" s="9" t="n">
        <f aca="false">IFERROR(__xludf.dummyfunction("iferror(match(O$1,SPLIT($M25,"",""),0)&gt;0,false)"),1)</f>
        <v>1</v>
      </c>
      <c r="AC25" s="4" t="s">
        <v>18</v>
      </c>
    </row>
    <row r="26" customFormat="false" ht="15.75" hidden="false" customHeight="true" outlineLevel="0" collapsed="false">
      <c r="A26" s="4" t="n">
        <v>1112</v>
      </c>
      <c r="B26" s="4" t="s">
        <v>64</v>
      </c>
      <c r="C26" s="5" t="s">
        <v>65</v>
      </c>
      <c r="D26" s="6" t="n">
        <v>10</v>
      </c>
      <c r="E26" s="6"/>
      <c r="F26" s="7" t="n">
        <f aca="false">IFERROR(__xludf.dummyfunction("COUNT(FILTER(Ingredientes!A:A,Ingredientes!A:A=A26))"),1)</f>
        <v>1</v>
      </c>
      <c r="G26" s="7" t="n">
        <f aca="false">IFERROR(__xludf.dummyfunction("COUNT(FILTER(Ingredientes!A:A,Ingredientes!C:C=A26))"),13)</f>
        <v>13</v>
      </c>
      <c r="H26" s="7" t="n">
        <v>24</v>
      </c>
      <c r="I26" s="4" t="n">
        <v>1</v>
      </c>
      <c r="J26" s="4" t="s">
        <v>28</v>
      </c>
      <c r="K26" s="7" t="n">
        <v>20</v>
      </c>
      <c r="L26" s="7" t="n">
        <v>10</v>
      </c>
      <c r="M26" s="8" t="str">
        <f aca="false">IFERROR(__xludf.dummyfunction("JOIN("","", iferror(filter('Asignación'!C:C,'Asignación'!A:A=A26),{1,2,3,4,5,6,7,8,9,10,11,12,13,14}))"),"1,2,3,4,5,6,7,8,9,10,11,12,13,14")</f>
        <v>1,2,3,4,5,6,7,8,9,10,11,12,13,14</v>
      </c>
      <c r="N26" s="4" t="n">
        <f aca="false">IFERROR(__xludf.dummyfunction("countunique(iferror(filter('Asignación'!C:C,'Asignación'!A:A=A26),{1,2,3,4,5,6,7,8,9,10,11,12,13,14}))"),14)</f>
        <v>14</v>
      </c>
      <c r="O26" s="9" t="n">
        <f aca="false">IFERROR(__xludf.dummyfunction("iferror(match(O$1,SPLIT($M26,"",""),0)&gt;0,false)"),1)</f>
        <v>1</v>
      </c>
      <c r="P26" s="9" t="n">
        <f aca="false">IFERROR(__xludf.dummyfunction("iferror(match(O$1,SPLIT($M26,"",""),0)&gt;0,false)"),1)</f>
        <v>1</v>
      </c>
      <c r="Q26" s="9" t="n">
        <f aca="false">IFERROR(__xludf.dummyfunction("iferror(match(O$1,SPLIT($M26,"",""),0)&gt;0,false)"),1)</f>
        <v>1</v>
      </c>
      <c r="R26" s="9" t="n">
        <f aca="false">IFERROR(__xludf.dummyfunction("iferror(match(O$1,SPLIT($M26,"",""),0)&gt;0,false)"),1)</f>
        <v>1</v>
      </c>
      <c r="S26" s="9" t="n">
        <f aca="false">IFERROR(__xludf.dummyfunction("iferror(match(O$1,SPLIT($M26,"",""),0)&gt;0,false)"),1)</f>
        <v>1</v>
      </c>
      <c r="T26" s="9" t="n">
        <f aca="false">IFERROR(__xludf.dummyfunction("iferror(match(O$1,SPLIT($M26,"",""),0)&gt;0,false)"),1)</f>
        <v>1</v>
      </c>
      <c r="U26" s="9" t="n">
        <f aca="false">IFERROR(__xludf.dummyfunction("iferror(match(O$1,SPLIT($M26,"",""),0)&gt;0,false)"),1)</f>
        <v>1</v>
      </c>
      <c r="V26" s="9" t="n">
        <f aca="false">IFERROR(__xludf.dummyfunction("iferror(match(O$1,SPLIT($M26,"",""),0)&gt;0,false)"),1)</f>
        <v>1</v>
      </c>
      <c r="W26" s="9" t="n">
        <f aca="false">IFERROR(__xludf.dummyfunction("iferror(match(O$1,SPLIT($M26,"",""),0)&gt;0,false)"),1)</f>
        <v>1</v>
      </c>
      <c r="X26" s="9" t="n">
        <f aca="false">IFERROR(__xludf.dummyfunction("iferror(match(O$1,SPLIT($M26,"",""),0)&gt;0,false)"),1)</f>
        <v>1</v>
      </c>
      <c r="Y26" s="9" t="n">
        <f aca="false">IFERROR(__xludf.dummyfunction("iferror(match(O$1,SPLIT($M26,"",""),0)&gt;0,false)"),1)</f>
        <v>1</v>
      </c>
      <c r="Z26" s="9" t="n">
        <f aca="false">IFERROR(__xludf.dummyfunction("iferror(match(O$1,SPLIT($M26,"",""),0)&gt;0,false)"),1)</f>
        <v>1</v>
      </c>
      <c r="AA26" s="9" t="n">
        <f aca="false">IFERROR(__xludf.dummyfunction("iferror(match(O$1,SPLIT($M26,"",""),0)&gt;0,false)"),1)</f>
        <v>1</v>
      </c>
      <c r="AB26" s="9" t="n">
        <f aca="false">IFERROR(__xludf.dummyfunction("iferror(match(O$1,SPLIT($M26,"",""),0)&gt;0,false)"),1)</f>
        <v>1</v>
      </c>
      <c r="AC26" s="4" t="s">
        <v>18</v>
      </c>
    </row>
    <row r="27" customFormat="false" ht="15.75" hidden="false" customHeight="true" outlineLevel="0" collapsed="false">
      <c r="A27" s="4" t="n">
        <v>1114</v>
      </c>
      <c r="B27" s="4" t="s">
        <v>66</v>
      </c>
      <c r="C27" s="5" t="s">
        <v>67</v>
      </c>
      <c r="D27" s="6" t="n">
        <v>10</v>
      </c>
      <c r="E27" s="6"/>
      <c r="F27" s="7" t="n">
        <f aca="false">IFERROR(__xludf.dummyfunction("COUNT(FILTER(Ingredientes!A:A,Ingredientes!A:A=A27))"),1)</f>
        <v>1</v>
      </c>
      <c r="G27" s="7" t="n">
        <f aca="false">IFERROR(__xludf.dummyfunction("COUNT(FILTER(Ingredientes!A:A,Ingredientes!C:C=A27))"),5)</f>
        <v>5</v>
      </c>
      <c r="H27" s="7" t="n">
        <v>2</v>
      </c>
      <c r="I27" s="4" t="n">
        <v>1</v>
      </c>
      <c r="J27" s="4" t="s">
        <v>28</v>
      </c>
      <c r="K27" s="7" t="n">
        <v>4</v>
      </c>
      <c r="L27" s="7" t="n">
        <v>10</v>
      </c>
      <c r="M27" s="8" t="str">
        <f aca="false">IFERROR(__xludf.dummyfunction("JOIN("","", iferror(filter('Asignación'!C:C,'Asignación'!A:A=A27),{1,2,3,4,5,6,7,8,9,10,11,12,13,14}))"),"1,2,3,4,5,6,7,8,9,10,11,12,13,14")</f>
        <v>1,2,3,4,5,6,7,8,9,10,11,12,13,14</v>
      </c>
      <c r="N27" s="4" t="n">
        <f aca="false">IFERROR(__xludf.dummyfunction("countunique(iferror(filter('Asignación'!C:C,'Asignación'!A:A=A27),{1,2,3,4,5,6,7,8,9,10,11,12,13,14}))"),14)</f>
        <v>14</v>
      </c>
      <c r="O27" s="9" t="n">
        <f aca="false">IFERROR(__xludf.dummyfunction("iferror(match(O$1,SPLIT($M27,"",""),0)&gt;0,false)"),1)</f>
        <v>1</v>
      </c>
      <c r="P27" s="9" t="n">
        <f aca="false">IFERROR(__xludf.dummyfunction("iferror(match(O$1,SPLIT($M27,"",""),0)&gt;0,false)"),1)</f>
        <v>1</v>
      </c>
      <c r="Q27" s="9" t="n">
        <f aca="false">IFERROR(__xludf.dummyfunction("iferror(match(O$1,SPLIT($M27,"",""),0)&gt;0,false)"),1)</f>
        <v>1</v>
      </c>
      <c r="R27" s="9" t="n">
        <f aca="false">IFERROR(__xludf.dummyfunction("iferror(match(O$1,SPLIT($M27,"",""),0)&gt;0,false)"),1)</f>
        <v>1</v>
      </c>
      <c r="S27" s="9" t="n">
        <f aca="false">IFERROR(__xludf.dummyfunction("iferror(match(O$1,SPLIT($M27,"",""),0)&gt;0,false)"),1)</f>
        <v>1</v>
      </c>
      <c r="T27" s="9" t="n">
        <f aca="false">IFERROR(__xludf.dummyfunction("iferror(match(O$1,SPLIT($M27,"",""),0)&gt;0,false)"),1)</f>
        <v>1</v>
      </c>
      <c r="U27" s="9" t="n">
        <f aca="false">IFERROR(__xludf.dummyfunction("iferror(match(O$1,SPLIT($M27,"",""),0)&gt;0,false)"),1)</f>
        <v>1</v>
      </c>
      <c r="V27" s="9" t="n">
        <f aca="false">IFERROR(__xludf.dummyfunction("iferror(match(O$1,SPLIT($M27,"",""),0)&gt;0,false)"),1)</f>
        <v>1</v>
      </c>
      <c r="W27" s="9" t="n">
        <f aca="false">IFERROR(__xludf.dummyfunction("iferror(match(O$1,SPLIT($M27,"",""),0)&gt;0,false)"),1)</f>
        <v>1</v>
      </c>
      <c r="X27" s="9" t="n">
        <f aca="false">IFERROR(__xludf.dummyfunction("iferror(match(O$1,SPLIT($M27,"",""),0)&gt;0,false)"),1)</f>
        <v>1</v>
      </c>
      <c r="Y27" s="9" t="n">
        <f aca="false">IFERROR(__xludf.dummyfunction("iferror(match(O$1,SPLIT($M27,"",""),0)&gt;0,false)"),1)</f>
        <v>1</v>
      </c>
      <c r="Z27" s="9" t="n">
        <f aca="false">IFERROR(__xludf.dummyfunction("iferror(match(O$1,SPLIT($M27,"",""),0)&gt;0,false)"),1)</f>
        <v>1</v>
      </c>
      <c r="AA27" s="9" t="n">
        <f aca="false">IFERROR(__xludf.dummyfunction("iferror(match(O$1,SPLIT($M27,"",""),0)&gt;0,false)"),1)</f>
        <v>1</v>
      </c>
      <c r="AB27" s="9" t="n">
        <f aca="false">IFERROR(__xludf.dummyfunction("iferror(match(O$1,SPLIT($M27,"",""),0)&gt;0,false)"),1)</f>
        <v>1</v>
      </c>
      <c r="AC27" s="4" t="s">
        <v>18</v>
      </c>
    </row>
    <row r="28" customFormat="false" ht="15.75" hidden="false" customHeight="true" outlineLevel="0" collapsed="false">
      <c r="A28" s="4" t="n">
        <v>1115</v>
      </c>
      <c r="B28" s="4" t="s">
        <v>68</v>
      </c>
      <c r="C28" s="5" t="s">
        <v>69</v>
      </c>
      <c r="D28" s="6" t="n">
        <v>10</v>
      </c>
      <c r="E28" s="6"/>
      <c r="F28" s="7" t="n">
        <f aca="false">IFERROR(__xludf.dummyfunction("COUNT(FILTER(Ingredientes!A:A,Ingredientes!A:A=A28))"),1)</f>
        <v>1</v>
      </c>
      <c r="G28" s="7" t="n">
        <f aca="false">IFERROR(__xludf.dummyfunction("COUNT(FILTER(Ingredientes!A:A,Ingredientes!C:C=A28))"),3)</f>
        <v>3</v>
      </c>
      <c r="H28" s="7" t="n">
        <v>3</v>
      </c>
      <c r="I28" s="4" t="n">
        <v>1</v>
      </c>
      <c r="J28" s="4" t="s">
        <v>28</v>
      </c>
      <c r="K28" s="7" t="n">
        <v>8</v>
      </c>
      <c r="L28" s="7" t="n">
        <v>10</v>
      </c>
      <c r="M28" s="8" t="str">
        <f aca="false">IFERROR(__xludf.dummyfunction("JOIN("","", iferror(filter('Asignación'!C:C,'Asignación'!A:A=A28),{1,2,3,4,5,6,7,8,9,10,11,12,13,14}))"),"1,2,3,4,5,6,7,8,9,10,11,12,13,14")</f>
        <v>1,2,3,4,5,6,7,8,9,10,11,12,13,14</v>
      </c>
      <c r="N28" s="4" t="n">
        <f aca="false">IFERROR(__xludf.dummyfunction("countunique(iferror(filter('Asignación'!C:C,'Asignación'!A:A=A28),{1,2,3,4,5,6,7,8,9,10,11,12,13,14}))"),14)</f>
        <v>14</v>
      </c>
      <c r="O28" s="9" t="n">
        <f aca="false">IFERROR(__xludf.dummyfunction("iferror(match(O$1,SPLIT($M28,"",""),0)&gt;0,false)"),1)</f>
        <v>1</v>
      </c>
      <c r="P28" s="9" t="n">
        <f aca="false">IFERROR(__xludf.dummyfunction("iferror(match(O$1,SPLIT($M28,"",""),0)&gt;0,false)"),1)</f>
        <v>1</v>
      </c>
      <c r="Q28" s="9" t="n">
        <f aca="false">IFERROR(__xludf.dummyfunction("iferror(match(O$1,SPLIT($M28,"",""),0)&gt;0,false)"),1)</f>
        <v>1</v>
      </c>
      <c r="R28" s="9" t="n">
        <f aca="false">IFERROR(__xludf.dummyfunction("iferror(match(O$1,SPLIT($M28,"",""),0)&gt;0,false)"),1)</f>
        <v>1</v>
      </c>
      <c r="S28" s="9" t="n">
        <f aca="false">IFERROR(__xludf.dummyfunction("iferror(match(O$1,SPLIT($M28,"",""),0)&gt;0,false)"),1)</f>
        <v>1</v>
      </c>
      <c r="T28" s="9" t="n">
        <f aca="false">IFERROR(__xludf.dummyfunction("iferror(match(O$1,SPLIT($M28,"",""),0)&gt;0,false)"),1)</f>
        <v>1</v>
      </c>
      <c r="U28" s="9" t="n">
        <f aca="false">IFERROR(__xludf.dummyfunction("iferror(match(O$1,SPLIT($M28,"",""),0)&gt;0,false)"),1)</f>
        <v>1</v>
      </c>
      <c r="V28" s="9" t="n">
        <f aca="false">IFERROR(__xludf.dummyfunction("iferror(match(O$1,SPLIT($M28,"",""),0)&gt;0,false)"),1)</f>
        <v>1</v>
      </c>
      <c r="W28" s="9" t="n">
        <f aca="false">IFERROR(__xludf.dummyfunction("iferror(match(O$1,SPLIT($M28,"",""),0)&gt;0,false)"),1)</f>
        <v>1</v>
      </c>
      <c r="X28" s="9" t="n">
        <f aca="false">IFERROR(__xludf.dummyfunction("iferror(match(O$1,SPLIT($M28,"",""),0)&gt;0,false)"),1)</f>
        <v>1</v>
      </c>
      <c r="Y28" s="9" t="n">
        <f aca="false">IFERROR(__xludf.dummyfunction("iferror(match(O$1,SPLIT($M28,"",""),0)&gt;0,false)"),1)</f>
        <v>1</v>
      </c>
      <c r="Z28" s="9" t="n">
        <f aca="false">IFERROR(__xludf.dummyfunction("iferror(match(O$1,SPLIT($M28,"",""),0)&gt;0,false)"),1)</f>
        <v>1</v>
      </c>
      <c r="AA28" s="9" t="n">
        <f aca="false">IFERROR(__xludf.dummyfunction("iferror(match(O$1,SPLIT($M28,"",""),0)&gt;0,false)"),1)</f>
        <v>1</v>
      </c>
      <c r="AB28" s="9" t="n">
        <f aca="false">IFERROR(__xludf.dummyfunction("iferror(match(O$1,SPLIT($M28,"",""),0)&gt;0,false)"),1)</f>
        <v>1</v>
      </c>
      <c r="AC28" s="4" t="s">
        <v>18</v>
      </c>
    </row>
    <row r="29" customFormat="false" ht="15.75" hidden="false" customHeight="true" outlineLevel="0" collapsed="false">
      <c r="A29" s="4" t="n">
        <v>1116</v>
      </c>
      <c r="B29" s="4" t="s">
        <v>70</v>
      </c>
      <c r="C29" s="5" t="s">
        <v>71</v>
      </c>
      <c r="D29" s="6" t="n">
        <v>10</v>
      </c>
      <c r="E29" s="4"/>
      <c r="F29" s="7" t="n">
        <f aca="false">IFERROR(__xludf.dummyfunction("COUNT(FILTER(Ingredientes!A:A,Ingredientes!A:A=A29))"),1)</f>
        <v>1</v>
      </c>
      <c r="G29" s="7" t="n">
        <f aca="false">IFERROR(__xludf.dummyfunction("COUNT(FILTER(Ingredientes!A:A,Ingredientes!C:C=A29))"),25)</f>
        <v>25</v>
      </c>
      <c r="H29" s="7" t="n">
        <v>24</v>
      </c>
      <c r="I29" s="4" t="n">
        <v>1</v>
      </c>
      <c r="J29" s="4" t="s">
        <v>28</v>
      </c>
      <c r="K29" s="7" t="n">
        <v>10</v>
      </c>
      <c r="L29" s="7" t="n">
        <v>40</v>
      </c>
      <c r="M29" s="8" t="str">
        <f aca="false">IFERROR(__xludf.dummyfunction("JOIN("","", iferror(filter('Asignación'!C:C,'Asignación'!A:A=A29),{1,2,3,4,5,6,7,8,9,10,11,12,13,14}))"),"1,2,3,4,5,6,7,8,9,10,11,12,13,14")</f>
        <v>1,2,3,4,5,6,7,8,9,10,11,12,13,14</v>
      </c>
      <c r="N29" s="4" t="n">
        <f aca="false">IFERROR(__xludf.dummyfunction("countunique(iferror(filter('Asignación'!C:C,'Asignación'!A:A=A29),{1,2,3,4,5,6,7,8,9,10,11,12,13,14}))"),14)</f>
        <v>14</v>
      </c>
      <c r="O29" s="9" t="n">
        <f aca="false">IFERROR(__xludf.dummyfunction("iferror(match(O$1,SPLIT($M29,"",""),0)&gt;0,false)"),1)</f>
        <v>1</v>
      </c>
      <c r="P29" s="9" t="n">
        <f aca="false">IFERROR(__xludf.dummyfunction("iferror(match(O$1,SPLIT($M29,"",""),0)&gt;0,false)"),1)</f>
        <v>1</v>
      </c>
      <c r="Q29" s="9" t="n">
        <f aca="false">IFERROR(__xludf.dummyfunction("iferror(match(O$1,SPLIT($M29,"",""),0)&gt;0,false)"),1)</f>
        <v>1</v>
      </c>
      <c r="R29" s="9" t="n">
        <f aca="false">IFERROR(__xludf.dummyfunction("iferror(match(O$1,SPLIT($M29,"",""),0)&gt;0,false)"),1)</f>
        <v>1</v>
      </c>
      <c r="S29" s="9" t="n">
        <f aca="false">IFERROR(__xludf.dummyfunction("iferror(match(O$1,SPLIT($M29,"",""),0)&gt;0,false)"),1)</f>
        <v>1</v>
      </c>
      <c r="T29" s="9" t="n">
        <f aca="false">IFERROR(__xludf.dummyfunction("iferror(match(O$1,SPLIT($M29,"",""),0)&gt;0,false)"),1)</f>
        <v>1</v>
      </c>
      <c r="U29" s="9" t="n">
        <f aca="false">IFERROR(__xludf.dummyfunction("iferror(match(O$1,SPLIT($M29,"",""),0)&gt;0,false)"),1)</f>
        <v>1</v>
      </c>
      <c r="V29" s="9" t="n">
        <f aca="false">IFERROR(__xludf.dummyfunction("iferror(match(O$1,SPLIT($M29,"",""),0)&gt;0,false)"),1)</f>
        <v>1</v>
      </c>
      <c r="W29" s="9" t="n">
        <f aca="false">IFERROR(__xludf.dummyfunction("iferror(match(O$1,SPLIT($M29,"",""),0)&gt;0,false)"),1)</f>
        <v>1</v>
      </c>
      <c r="X29" s="9" t="n">
        <f aca="false">IFERROR(__xludf.dummyfunction("iferror(match(O$1,SPLIT($M29,"",""),0)&gt;0,false)"),1)</f>
        <v>1</v>
      </c>
      <c r="Y29" s="9" t="n">
        <f aca="false">IFERROR(__xludf.dummyfunction("iferror(match(O$1,SPLIT($M29,"",""),0)&gt;0,false)"),1)</f>
        <v>1</v>
      </c>
      <c r="Z29" s="9" t="n">
        <f aca="false">IFERROR(__xludf.dummyfunction("iferror(match(O$1,SPLIT($M29,"",""),0)&gt;0,false)"),1)</f>
        <v>1</v>
      </c>
      <c r="AA29" s="9" t="n">
        <f aca="false">IFERROR(__xludf.dummyfunction("iferror(match(O$1,SPLIT($M29,"",""),0)&gt;0,false)"),1)</f>
        <v>1</v>
      </c>
      <c r="AB29" s="9" t="n">
        <f aca="false">IFERROR(__xludf.dummyfunction("iferror(match(O$1,SPLIT($M29,"",""),0)&gt;0,false)"),1)</f>
        <v>1</v>
      </c>
      <c r="AC29" s="4" t="s">
        <v>18</v>
      </c>
    </row>
    <row r="30" customFormat="false" ht="15.75" hidden="false" customHeight="true" outlineLevel="0" collapsed="false">
      <c r="A30" s="4" t="n">
        <v>1201</v>
      </c>
      <c r="B30" s="4" t="s">
        <v>72</v>
      </c>
      <c r="C30" s="5" t="s">
        <v>73</v>
      </c>
      <c r="D30" s="6" t="n">
        <v>10</v>
      </c>
      <c r="E30" s="6"/>
      <c r="F30" s="7" t="n">
        <f aca="false">IFERROR(__xludf.dummyfunction("COUNT(FILTER(Ingredientes!A:A,Ingredientes!A:A=A30))"),1)</f>
        <v>1</v>
      </c>
      <c r="G30" s="7" t="n">
        <f aca="false">IFERROR(__xludf.dummyfunction("COUNT(FILTER(Ingredientes!A:A,Ingredientes!C:C=A30))"),25)</f>
        <v>25</v>
      </c>
      <c r="H30" s="7" t="n">
        <v>2</v>
      </c>
      <c r="I30" s="4" t="n">
        <v>1</v>
      </c>
      <c r="J30" s="4" t="s">
        <v>28</v>
      </c>
      <c r="K30" s="7" t="n">
        <v>10</v>
      </c>
      <c r="L30" s="7" t="n">
        <v>10</v>
      </c>
      <c r="M30" s="8" t="str">
        <f aca="false">IFERROR(__xludf.dummyfunction("JOIN("","", iferror(filter('Asignación'!C:C,'Asignación'!A:A=A30),{1,2,3,4,5,6,7,8,9,10,11,12,13,14}))"),"1,2,3,4,5,6,7,8,9,10,11,12,13,14")</f>
        <v>1,2,3,4,5,6,7,8,9,10,11,12,13,14</v>
      </c>
      <c r="N30" s="4" t="n">
        <f aca="false">IFERROR(__xludf.dummyfunction("countunique(iferror(filter('Asignación'!C:C,'Asignación'!A:A=A30),{1,2,3,4,5,6,7,8,9,10,11,12,13,14}))"),14)</f>
        <v>14</v>
      </c>
      <c r="O30" s="9" t="n">
        <f aca="false">IFERROR(__xludf.dummyfunction("iferror(match(O$1,SPLIT($M30,"",""),0)&gt;0,false)"),1)</f>
        <v>1</v>
      </c>
      <c r="P30" s="9" t="n">
        <f aca="false">IFERROR(__xludf.dummyfunction("iferror(match(O$1,SPLIT($M30,"",""),0)&gt;0,false)"),1)</f>
        <v>1</v>
      </c>
      <c r="Q30" s="9" t="n">
        <f aca="false">IFERROR(__xludf.dummyfunction("iferror(match(O$1,SPLIT($M30,"",""),0)&gt;0,false)"),1)</f>
        <v>1</v>
      </c>
      <c r="R30" s="9" t="n">
        <f aca="false">IFERROR(__xludf.dummyfunction("iferror(match(O$1,SPLIT($M30,"",""),0)&gt;0,false)"),1)</f>
        <v>1</v>
      </c>
      <c r="S30" s="9" t="n">
        <f aca="false">IFERROR(__xludf.dummyfunction("iferror(match(O$1,SPLIT($M30,"",""),0)&gt;0,false)"),1)</f>
        <v>1</v>
      </c>
      <c r="T30" s="9" t="n">
        <f aca="false">IFERROR(__xludf.dummyfunction("iferror(match(O$1,SPLIT($M30,"",""),0)&gt;0,false)"),1)</f>
        <v>1</v>
      </c>
      <c r="U30" s="9" t="n">
        <f aca="false">IFERROR(__xludf.dummyfunction("iferror(match(O$1,SPLIT($M30,"",""),0)&gt;0,false)"),1)</f>
        <v>1</v>
      </c>
      <c r="V30" s="9" t="n">
        <f aca="false">IFERROR(__xludf.dummyfunction("iferror(match(O$1,SPLIT($M30,"",""),0)&gt;0,false)"),1)</f>
        <v>1</v>
      </c>
      <c r="W30" s="9" t="n">
        <f aca="false">IFERROR(__xludf.dummyfunction("iferror(match(O$1,SPLIT($M30,"",""),0)&gt;0,false)"),1)</f>
        <v>1</v>
      </c>
      <c r="X30" s="9" t="n">
        <f aca="false">IFERROR(__xludf.dummyfunction("iferror(match(O$1,SPLIT($M30,"",""),0)&gt;0,false)"),1)</f>
        <v>1</v>
      </c>
      <c r="Y30" s="9" t="n">
        <f aca="false">IFERROR(__xludf.dummyfunction("iferror(match(O$1,SPLIT($M30,"",""),0)&gt;0,false)"),1)</f>
        <v>1</v>
      </c>
      <c r="Z30" s="9" t="n">
        <f aca="false">IFERROR(__xludf.dummyfunction("iferror(match(O$1,SPLIT($M30,"",""),0)&gt;0,false)"),1)</f>
        <v>1</v>
      </c>
      <c r="AA30" s="9" t="n">
        <f aca="false">IFERROR(__xludf.dummyfunction("iferror(match(O$1,SPLIT($M30,"",""),0)&gt;0,false)"),1)</f>
        <v>1</v>
      </c>
      <c r="AB30" s="9" t="n">
        <f aca="false">IFERROR(__xludf.dummyfunction("iferror(match(O$1,SPLIT($M30,"",""),0)&gt;0,false)"),1)</f>
        <v>1</v>
      </c>
      <c r="AC30" s="4" t="s">
        <v>18</v>
      </c>
    </row>
    <row r="31" customFormat="false" ht="15.75" hidden="false" customHeight="true" outlineLevel="0" collapsed="false">
      <c r="A31" s="4" t="n">
        <v>1207</v>
      </c>
      <c r="B31" s="4" t="s">
        <v>74</v>
      </c>
      <c r="C31" s="5" t="s">
        <v>75</v>
      </c>
      <c r="D31" s="6" t="n">
        <v>30</v>
      </c>
      <c r="E31" s="6"/>
      <c r="F31" s="7" t="n">
        <f aca="false">IFERROR(__xludf.dummyfunction("COUNT(FILTER(Ingredientes!A:A,Ingredientes!A:A=A31))"),1)</f>
        <v>1</v>
      </c>
      <c r="G31" s="7" t="n">
        <f aca="false">IFERROR(__xludf.dummyfunction("COUNT(FILTER(Ingredientes!A:A,Ingredientes!C:C=A31))"),2)</f>
        <v>2</v>
      </c>
      <c r="H31" s="7" t="n">
        <v>2</v>
      </c>
      <c r="I31" s="4" t="n">
        <v>1</v>
      </c>
      <c r="J31" s="4" t="s">
        <v>28</v>
      </c>
      <c r="K31" s="7" t="n">
        <v>12</v>
      </c>
      <c r="L31" s="7" t="n">
        <v>20</v>
      </c>
      <c r="M31" s="8" t="str">
        <f aca="false">IFERROR(__xludf.dummyfunction("JOIN("","", iferror(filter('Asignación'!C:C,'Asignación'!A:A=A31),{1,2,3,4,5,6,7,8,9,10,11,12,13,14}))"),"1,2,3,4,5,6,7,8,9,10,11,12,13,14")</f>
        <v>1,2,3,4,5,6,7,8,9,10,11,12,13,14</v>
      </c>
      <c r="N31" s="4" t="n">
        <f aca="false">IFERROR(__xludf.dummyfunction("countunique(iferror(filter('Asignación'!C:C,'Asignación'!A:A=A31),{1,2,3,4,5,6,7,8,9,10,11,12,13,14}))"),14)</f>
        <v>14</v>
      </c>
      <c r="O31" s="9" t="n">
        <f aca="false">IFERROR(__xludf.dummyfunction("iferror(match(O$1,SPLIT($M31,"",""),0)&gt;0,false)"),1)</f>
        <v>1</v>
      </c>
      <c r="P31" s="9" t="n">
        <f aca="false">IFERROR(__xludf.dummyfunction("iferror(match(O$1,SPLIT($M31,"",""),0)&gt;0,false)"),1)</f>
        <v>1</v>
      </c>
      <c r="Q31" s="9" t="n">
        <f aca="false">IFERROR(__xludf.dummyfunction("iferror(match(O$1,SPLIT($M31,"",""),0)&gt;0,false)"),1)</f>
        <v>1</v>
      </c>
      <c r="R31" s="9" t="n">
        <f aca="false">IFERROR(__xludf.dummyfunction("iferror(match(O$1,SPLIT($M31,"",""),0)&gt;0,false)"),1)</f>
        <v>1</v>
      </c>
      <c r="S31" s="9" t="n">
        <f aca="false">IFERROR(__xludf.dummyfunction("iferror(match(O$1,SPLIT($M31,"",""),0)&gt;0,false)"),1)</f>
        <v>1</v>
      </c>
      <c r="T31" s="9" t="n">
        <f aca="false">IFERROR(__xludf.dummyfunction("iferror(match(O$1,SPLIT($M31,"",""),0)&gt;0,false)"),1)</f>
        <v>1</v>
      </c>
      <c r="U31" s="9" t="n">
        <f aca="false">IFERROR(__xludf.dummyfunction("iferror(match(O$1,SPLIT($M31,"",""),0)&gt;0,false)"),1)</f>
        <v>1</v>
      </c>
      <c r="V31" s="9" t="n">
        <f aca="false">IFERROR(__xludf.dummyfunction("iferror(match(O$1,SPLIT($M31,"",""),0)&gt;0,false)"),1)</f>
        <v>1</v>
      </c>
      <c r="W31" s="9" t="n">
        <f aca="false">IFERROR(__xludf.dummyfunction("iferror(match(O$1,SPLIT($M31,"",""),0)&gt;0,false)"),1)</f>
        <v>1</v>
      </c>
      <c r="X31" s="9" t="n">
        <f aca="false">IFERROR(__xludf.dummyfunction("iferror(match(O$1,SPLIT($M31,"",""),0)&gt;0,false)"),1)</f>
        <v>1</v>
      </c>
      <c r="Y31" s="9" t="n">
        <f aca="false">IFERROR(__xludf.dummyfunction("iferror(match(O$1,SPLIT($M31,"",""),0)&gt;0,false)"),1)</f>
        <v>1</v>
      </c>
      <c r="Z31" s="9" t="n">
        <f aca="false">IFERROR(__xludf.dummyfunction("iferror(match(O$1,SPLIT($M31,"",""),0)&gt;0,false)"),1)</f>
        <v>1</v>
      </c>
      <c r="AA31" s="9" t="n">
        <f aca="false">IFERROR(__xludf.dummyfunction("iferror(match(O$1,SPLIT($M31,"",""),0)&gt;0,false)"),1)</f>
        <v>1</v>
      </c>
      <c r="AB31" s="9" t="n">
        <f aca="false">IFERROR(__xludf.dummyfunction("iferror(match(O$1,SPLIT($M31,"",""),0)&gt;0,false)"),1)</f>
        <v>1</v>
      </c>
      <c r="AC31" s="4" t="s">
        <v>18</v>
      </c>
    </row>
    <row r="32" customFormat="false" ht="15.75" hidden="false" customHeight="true" outlineLevel="0" collapsed="false">
      <c r="A32" s="4" t="n">
        <v>1209</v>
      </c>
      <c r="B32" s="4" t="s">
        <v>76</v>
      </c>
      <c r="C32" s="5" t="s">
        <v>77</v>
      </c>
      <c r="D32" s="6" t="n">
        <v>30</v>
      </c>
      <c r="E32" s="6"/>
      <c r="F32" s="7" t="n">
        <f aca="false">IFERROR(__xludf.dummyfunction("COUNT(FILTER(Ingredientes!A:A,Ingredientes!A:A=A32))"),1)</f>
        <v>1</v>
      </c>
      <c r="G32" s="7" t="n">
        <f aca="false">IFERROR(__xludf.dummyfunction("COUNT(FILTER(Ingredientes!A:A,Ingredientes!C:C=A32))"),2)</f>
        <v>2</v>
      </c>
      <c r="H32" s="7" t="n">
        <v>1.5</v>
      </c>
      <c r="I32" s="4" t="n">
        <v>1</v>
      </c>
      <c r="J32" s="4" t="s">
        <v>28</v>
      </c>
      <c r="K32" s="7" t="n">
        <v>14</v>
      </c>
      <c r="L32" s="7" t="n">
        <v>30</v>
      </c>
      <c r="M32" s="8" t="str">
        <f aca="false">IFERROR(__xludf.dummyfunction("JOIN("","", iferror(filter('Asignación'!C:C,'Asignación'!A:A=A32),{1,2,3,4,5,6,7,8,9,10,11,12,13,14}))"),"1,2,3,4,5,6,7,8,9,10,11,12,13,14")</f>
        <v>1,2,3,4,5,6,7,8,9,10,11,12,13,14</v>
      </c>
      <c r="N32" s="4" t="n">
        <f aca="false">IFERROR(__xludf.dummyfunction("countunique(iferror(filter('Asignación'!C:C,'Asignación'!A:A=A32),{1,2,3,4,5,6,7,8,9,10,11,12,13,14}))"),14)</f>
        <v>14</v>
      </c>
      <c r="O32" s="9" t="n">
        <f aca="false">IFERROR(__xludf.dummyfunction("iferror(match(O$1,SPLIT($M32,"",""),0)&gt;0,false)"),1)</f>
        <v>1</v>
      </c>
      <c r="P32" s="9" t="n">
        <f aca="false">IFERROR(__xludf.dummyfunction("iferror(match(O$1,SPLIT($M32,"",""),0)&gt;0,false)"),1)</f>
        <v>1</v>
      </c>
      <c r="Q32" s="9" t="n">
        <f aca="false">IFERROR(__xludf.dummyfunction("iferror(match(O$1,SPLIT($M32,"",""),0)&gt;0,false)"),1)</f>
        <v>1</v>
      </c>
      <c r="R32" s="9" t="n">
        <f aca="false">IFERROR(__xludf.dummyfunction("iferror(match(O$1,SPLIT($M32,"",""),0)&gt;0,false)"),1)</f>
        <v>1</v>
      </c>
      <c r="S32" s="9" t="n">
        <f aca="false">IFERROR(__xludf.dummyfunction("iferror(match(O$1,SPLIT($M32,"",""),0)&gt;0,false)"),1)</f>
        <v>1</v>
      </c>
      <c r="T32" s="9" t="n">
        <f aca="false">IFERROR(__xludf.dummyfunction("iferror(match(O$1,SPLIT($M32,"",""),0)&gt;0,false)"),1)</f>
        <v>1</v>
      </c>
      <c r="U32" s="9" t="n">
        <f aca="false">IFERROR(__xludf.dummyfunction("iferror(match(O$1,SPLIT($M32,"",""),0)&gt;0,false)"),1)</f>
        <v>1</v>
      </c>
      <c r="V32" s="9" t="n">
        <f aca="false">IFERROR(__xludf.dummyfunction("iferror(match(O$1,SPLIT($M32,"",""),0)&gt;0,false)"),1)</f>
        <v>1</v>
      </c>
      <c r="W32" s="9" t="n">
        <f aca="false">IFERROR(__xludf.dummyfunction("iferror(match(O$1,SPLIT($M32,"",""),0)&gt;0,false)"),1)</f>
        <v>1</v>
      </c>
      <c r="X32" s="9" t="n">
        <f aca="false">IFERROR(__xludf.dummyfunction("iferror(match(O$1,SPLIT($M32,"",""),0)&gt;0,false)"),1)</f>
        <v>1</v>
      </c>
      <c r="Y32" s="9" t="n">
        <f aca="false">IFERROR(__xludf.dummyfunction("iferror(match(O$1,SPLIT($M32,"",""),0)&gt;0,false)"),1)</f>
        <v>1</v>
      </c>
      <c r="Z32" s="9" t="n">
        <f aca="false">IFERROR(__xludf.dummyfunction("iferror(match(O$1,SPLIT($M32,"",""),0)&gt;0,false)"),1)</f>
        <v>1</v>
      </c>
      <c r="AA32" s="9" t="n">
        <f aca="false">IFERROR(__xludf.dummyfunction("iferror(match(O$1,SPLIT($M32,"",""),0)&gt;0,false)"),1)</f>
        <v>1</v>
      </c>
      <c r="AB32" s="9" t="n">
        <f aca="false">IFERROR(__xludf.dummyfunction("iferror(match(O$1,SPLIT($M32,"",""),0)&gt;0,false)"),1)</f>
        <v>1</v>
      </c>
      <c r="AC32" s="4" t="s">
        <v>18</v>
      </c>
    </row>
    <row r="33" customFormat="false" ht="15.75" hidden="false" customHeight="true" outlineLevel="0" collapsed="false">
      <c r="A33" s="4" t="n">
        <v>1210</v>
      </c>
      <c r="B33" s="4" t="s">
        <v>78</v>
      </c>
      <c r="C33" s="5" t="s">
        <v>79</v>
      </c>
      <c r="D33" s="6" t="n">
        <v>10</v>
      </c>
      <c r="E33" s="6"/>
      <c r="F33" s="7" t="n">
        <f aca="false">IFERROR(__xludf.dummyfunction("COUNT(FILTER(Ingredientes!A:A,Ingredientes!A:A=A33))"),1)</f>
        <v>1</v>
      </c>
      <c r="G33" s="7" t="n">
        <f aca="false">IFERROR(__xludf.dummyfunction("COUNT(FILTER(Ingredientes!A:A,Ingredientes!C:C=A33))"),15)</f>
        <v>15</v>
      </c>
      <c r="H33" s="7" t="n">
        <v>2.3</v>
      </c>
      <c r="I33" s="4" t="n">
        <v>1</v>
      </c>
      <c r="J33" s="4" t="s">
        <v>28</v>
      </c>
      <c r="K33" s="7" t="n">
        <v>9</v>
      </c>
      <c r="L33" s="7" t="n">
        <v>10</v>
      </c>
      <c r="M33" s="8" t="str">
        <f aca="false">IFERROR(__xludf.dummyfunction("JOIN("","", iferror(filter('Asignación'!C:C,'Asignación'!A:A=A33),{1,2,3,4,5,6,7,8,9,10,11,12,13,14}))"),"1,2,3,4,5,6,7,8,9,10,11,12,13,14")</f>
        <v>1,2,3,4,5,6,7,8,9,10,11,12,13,14</v>
      </c>
      <c r="N33" s="4" t="n">
        <f aca="false">IFERROR(__xludf.dummyfunction("countunique(iferror(filter('Asignación'!C:C,'Asignación'!A:A=A33),{1,2,3,4,5,6,7,8,9,10,11,12,13,14}))"),14)</f>
        <v>14</v>
      </c>
      <c r="O33" s="9" t="n">
        <f aca="false">IFERROR(__xludf.dummyfunction("iferror(match(O$1,SPLIT($M33,"",""),0)&gt;0,false)"),1)</f>
        <v>1</v>
      </c>
      <c r="P33" s="9" t="n">
        <f aca="false">IFERROR(__xludf.dummyfunction("iferror(match(O$1,SPLIT($M33,"",""),0)&gt;0,false)"),1)</f>
        <v>1</v>
      </c>
      <c r="Q33" s="9" t="n">
        <f aca="false">IFERROR(__xludf.dummyfunction("iferror(match(O$1,SPLIT($M33,"",""),0)&gt;0,false)"),1)</f>
        <v>1</v>
      </c>
      <c r="R33" s="9" t="n">
        <f aca="false">IFERROR(__xludf.dummyfunction("iferror(match(O$1,SPLIT($M33,"",""),0)&gt;0,false)"),1)</f>
        <v>1</v>
      </c>
      <c r="S33" s="9" t="n">
        <f aca="false">IFERROR(__xludf.dummyfunction("iferror(match(O$1,SPLIT($M33,"",""),0)&gt;0,false)"),1)</f>
        <v>1</v>
      </c>
      <c r="T33" s="9" t="n">
        <f aca="false">IFERROR(__xludf.dummyfunction("iferror(match(O$1,SPLIT($M33,"",""),0)&gt;0,false)"),1)</f>
        <v>1</v>
      </c>
      <c r="U33" s="9" t="n">
        <f aca="false">IFERROR(__xludf.dummyfunction("iferror(match(O$1,SPLIT($M33,"",""),0)&gt;0,false)"),1)</f>
        <v>1</v>
      </c>
      <c r="V33" s="9" t="n">
        <f aca="false">IFERROR(__xludf.dummyfunction("iferror(match(O$1,SPLIT($M33,"",""),0)&gt;0,false)"),1)</f>
        <v>1</v>
      </c>
      <c r="W33" s="9" t="n">
        <f aca="false">IFERROR(__xludf.dummyfunction("iferror(match(O$1,SPLIT($M33,"",""),0)&gt;0,false)"),1)</f>
        <v>1</v>
      </c>
      <c r="X33" s="9" t="n">
        <f aca="false">IFERROR(__xludf.dummyfunction("iferror(match(O$1,SPLIT($M33,"",""),0)&gt;0,false)"),1)</f>
        <v>1</v>
      </c>
      <c r="Y33" s="9" t="n">
        <f aca="false">IFERROR(__xludf.dummyfunction("iferror(match(O$1,SPLIT($M33,"",""),0)&gt;0,false)"),1)</f>
        <v>1</v>
      </c>
      <c r="Z33" s="9" t="n">
        <f aca="false">IFERROR(__xludf.dummyfunction("iferror(match(O$1,SPLIT($M33,"",""),0)&gt;0,false)"),1)</f>
        <v>1</v>
      </c>
      <c r="AA33" s="9" t="n">
        <f aca="false">IFERROR(__xludf.dummyfunction("iferror(match(O$1,SPLIT($M33,"",""),0)&gt;0,false)"),1)</f>
        <v>1</v>
      </c>
      <c r="AB33" s="9" t="n">
        <f aca="false">IFERROR(__xludf.dummyfunction("iferror(match(O$1,SPLIT($M33,"",""),0)&gt;0,false)"),1)</f>
        <v>1</v>
      </c>
      <c r="AC33" s="4" t="s">
        <v>18</v>
      </c>
    </row>
    <row r="34" customFormat="false" ht="15.75" hidden="false" customHeight="true" outlineLevel="0" collapsed="false">
      <c r="A34" s="4" t="n">
        <v>1211</v>
      </c>
      <c r="B34" s="4" t="s">
        <v>80</v>
      </c>
      <c r="C34" s="5" t="s">
        <v>81</v>
      </c>
      <c r="D34" s="6" t="n">
        <v>10</v>
      </c>
      <c r="E34" s="6"/>
      <c r="F34" s="7" t="n">
        <f aca="false">IFERROR(__xludf.dummyfunction("COUNT(FILTER(Ingredientes!A:A,Ingredientes!A:A=A34))"),1)</f>
        <v>1</v>
      </c>
      <c r="G34" s="7" t="n">
        <f aca="false">IFERROR(__xludf.dummyfunction("COUNT(FILTER(Ingredientes!A:A,Ingredientes!C:C=A34))"),6)</f>
        <v>6</v>
      </c>
      <c r="H34" s="7" t="n">
        <v>12</v>
      </c>
      <c r="I34" s="4" t="n">
        <v>1</v>
      </c>
      <c r="J34" s="4" t="s">
        <v>28</v>
      </c>
      <c r="K34" s="7" t="n">
        <v>10</v>
      </c>
      <c r="L34" s="7" t="n">
        <v>10</v>
      </c>
      <c r="M34" s="8" t="str">
        <f aca="false">IFERROR(__xludf.dummyfunction("JOIN("","", iferror(filter('Asignación'!C:C,'Asignación'!A:A=A34),{1,2,3,4,5,6,7,8,9,10,11,12,13,14}))"),"1,2,3,4,5,6,7,8,9,10,11,12,13,14")</f>
        <v>1,2,3,4,5,6,7,8,9,10,11,12,13,14</v>
      </c>
      <c r="N34" s="4" t="n">
        <f aca="false">IFERROR(__xludf.dummyfunction("countunique(iferror(filter('Asignación'!C:C,'Asignación'!A:A=A34),{1,2,3,4,5,6,7,8,9,10,11,12,13,14}))"),14)</f>
        <v>14</v>
      </c>
      <c r="O34" s="9" t="n">
        <f aca="false">IFERROR(__xludf.dummyfunction("iferror(match(O$1,SPLIT($M34,"",""),0)&gt;0,false)"),1)</f>
        <v>1</v>
      </c>
      <c r="P34" s="9" t="n">
        <f aca="false">IFERROR(__xludf.dummyfunction("iferror(match(O$1,SPLIT($M34,"",""),0)&gt;0,false)"),1)</f>
        <v>1</v>
      </c>
      <c r="Q34" s="9" t="n">
        <f aca="false">IFERROR(__xludf.dummyfunction("iferror(match(O$1,SPLIT($M34,"",""),0)&gt;0,false)"),1)</f>
        <v>1</v>
      </c>
      <c r="R34" s="9" t="n">
        <f aca="false">IFERROR(__xludf.dummyfunction("iferror(match(O$1,SPLIT($M34,"",""),0)&gt;0,false)"),1)</f>
        <v>1</v>
      </c>
      <c r="S34" s="9" t="n">
        <f aca="false">IFERROR(__xludf.dummyfunction("iferror(match(O$1,SPLIT($M34,"",""),0)&gt;0,false)"),1)</f>
        <v>1</v>
      </c>
      <c r="T34" s="9" t="n">
        <f aca="false">IFERROR(__xludf.dummyfunction("iferror(match(O$1,SPLIT($M34,"",""),0)&gt;0,false)"),1)</f>
        <v>1</v>
      </c>
      <c r="U34" s="9" t="n">
        <f aca="false">IFERROR(__xludf.dummyfunction("iferror(match(O$1,SPLIT($M34,"",""),0)&gt;0,false)"),1)</f>
        <v>1</v>
      </c>
      <c r="V34" s="9" t="n">
        <f aca="false">IFERROR(__xludf.dummyfunction("iferror(match(O$1,SPLIT($M34,"",""),0)&gt;0,false)"),1)</f>
        <v>1</v>
      </c>
      <c r="W34" s="9" t="n">
        <f aca="false">IFERROR(__xludf.dummyfunction("iferror(match(O$1,SPLIT($M34,"",""),0)&gt;0,false)"),1)</f>
        <v>1</v>
      </c>
      <c r="X34" s="9" t="n">
        <f aca="false">IFERROR(__xludf.dummyfunction("iferror(match(O$1,SPLIT($M34,"",""),0)&gt;0,false)"),1)</f>
        <v>1</v>
      </c>
      <c r="Y34" s="9" t="n">
        <f aca="false">IFERROR(__xludf.dummyfunction("iferror(match(O$1,SPLIT($M34,"",""),0)&gt;0,false)"),1)</f>
        <v>1</v>
      </c>
      <c r="Z34" s="9" t="n">
        <f aca="false">IFERROR(__xludf.dummyfunction("iferror(match(O$1,SPLIT($M34,"",""),0)&gt;0,false)"),1)</f>
        <v>1</v>
      </c>
      <c r="AA34" s="9" t="n">
        <f aca="false">IFERROR(__xludf.dummyfunction("iferror(match(O$1,SPLIT($M34,"",""),0)&gt;0,false)"),1)</f>
        <v>1</v>
      </c>
      <c r="AB34" s="9" t="n">
        <f aca="false">IFERROR(__xludf.dummyfunction("iferror(match(O$1,SPLIT($M34,"",""),0)&gt;0,false)"),1)</f>
        <v>1</v>
      </c>
      <c r="AC34" s="4" t="s">
        <v>18</v>
      </c>
    </row>
    <row r="35" customFormat="false" ht="15.75" hidden="false" customHeight="true" outlineLevel="0" collapsed="false">
      <c r="A35" s="4" t="n">
        <v>1215</v>
      </c>
      <c r="B35" s="4" t="s">
        <v>82</v>
      </c>
      <c r="C35" s="5" t="s">
        <v>83</v>
      </c>
      <c r="D35" s="6" t="n">
        <v>0</v>
      </c>
      <c r="E35" s="6"/>
      <c r="F35" s="7" t="n">
        <f aca="false">IFERROR(__xludf.dummyfunction("COUNT(FILTER(Ingredientes!A:A,Ingredientes!A:A=A35))"),1)</f>
        <v>1</v>
      </c>
      <c r="G35" s="7" t="n">
        <f aca="false">IFERROR(__xludf.dummyfunction("COUNT(FILTER(Ingredientes!A:A,Ingredientes!C:C=A35))"),2)</f>
        <v>2</v>
      </c>
      <c r="H35" s="7" t="n">
        <v>3</v>
      </c>
      <c r="I35" s="4" t="n">
        <v>1</v>
      </c>
      <c r="J35" s="4" t="s">
        <v>28</v>
      </c>
      <c r="K35" s="7" t="n">
        <v>8</v>
      </c>
      <c r="L35" s="7" t="n">
        <v>10</v>
      </c>
      <c r="M35" s="8" t="str">
        <f aca="false">IFERROR(__xludf.dummyfunction("JOIN("","", iferror(filter('Asignación'!C:C,'Asignación'!A:A=A35),{1,2,3,4,5,6,7,8,9,10,11,12,13,14}))"),"1,2,3,4,5,6,7,8,9,10,11,12,13,14")</f>
        <v>1,2,3,4,5,6,7,8,9,10,11,12,13,14</v>
      </c>
      <c r="N35" s="4" t="n">
        <f aca="false">IFERROR(__xludf.dummyfunction("countunique(iferror(filter('Asignación'!C:C,'Asignación'!A:A=A35),{1,2,3,4,5,6,7,8,9,10,11,12,13,14}))"),14)</f>
        <v>14</v>
      </c>
      <c r="O35" s="9" t="n">
        <f aca="false">IFERROR(__xludf.dummyfunction("iferror(match(O$1,SPLIT($M35,"",""),0)&gt;0,false)"),1)</f>
        <v>1</v>
      </c>
      <c r="P35" s="9" t="n">
        <f aca="false">IFERROR(__xludf.dummyfunction("iferror(match(O$1,SPLIT($M35,"",""),0)&gt;0,false)"),1)</f>
        <v>1</v>
      </c>
      <c r="Q35" s="9" t="n">
        <f aca="false">IFERROR(__xludf.dummyfunction("iferror(match(O$1,SPLIT($M35,"",""),0)&gt;0,false)"),1)</f>
        <v>1</v>
      </c>
      <c r="R35" s="9" t="n">
        <f aca="false">IFERROR(__xludf.dummyfunction("iferror(match(O$1,SPLIT($M35,"",""),0)&gt;0,false)"),1)</f>
        <v>1</v>
      </c>
      <c r="S35" s="9" t="n">
        <f aca="false">IFERROR(__xludf.dummyfunction("iferror(match(O$1,SPLIT($M35,"",""),0)&gt;0,false)"),1)</f>
        <v>1</v>
      </c>
      <c r="T35" s="9" t="n">
        <f aca="false">IFERROR(__xludf.dummyfunction("iferror(match(O$1,SPLIT($M35,"",""),0)&gt;0,false)"),1)</f>
        <v>1</v>
      </c>
      <c r="U35" s="9" t="n">
        <f aca="false">IFERROR(__xludf.dummyfunction("iferror(match(O$1,SPLIT($M35,"",""),0)&gt;0,false)"),1)</f>
        <v>1</v>
      </c>
      <c r="V35" s="9" t="n">
        <f aca="false">IFERROR(__xludf.dummyfunction("iferror(match(O$1,SPLIT($M35,"",""),0)&gt;0,false)"),1)</f>
        <v>1</v>
      </c>
      <c r="W35" s="9" t="n">
        <f aca="false">IFERROR(__xludf.dummyfunction("iferror(match(O$1,SPLIT($M35,"",""),0)&gt;0,false)"),1)</f>
        <v>1</v>
      </c>
      <c r="X35" s="9" t="n">
        <f aca="false">IFERROR(__xludf.dummyfunction("iferror(match(O$1,SPLIT($M35,"",""),0)&gt;0,false)"),1)</f>
        <v>1</v>
      </c>
      <c r="Y35" s="9" t="n">
        <f aca="false">IFERROR(__xludf.dummyfunction("iferror(match(O$1,SPLIT($M35,"",""),0)&gt;0,false)"),1)</f>
        <v>1</v>
      </c>
      <c r="Z35" s="9" t="n">
        <f aca="false">IFERROR(__xludf.dummyfunction("iferror(match(O$1,SPLIT($M35,"",""),0)&gt;0,false)"),1)</f>
        <v>1</v>
      </c>
      <c r="AA35" s="9" t="n">
        <f aca="false">IFERROR(__xludf.dummyfunction("iferror(match(O$1,SPLIT($M35,"",""),0)&gt;0,false)"),1)</f>
        <v>1</v>
      </c>
      <c r="AB35" s="9" t="n">
        <f aca="false">IFERROR(__xludf.dummyfunction("iferror(match(O$1,SPLIT($M35,"",""),0)&gt;0,false)"),1)</f>
        <v>1</v>
      </c>
      <c r="AC35" s="4" t="s">
        <v>18</v>
      </c>
    </row>
    <row r="36" customFormat="false" ht="15.75" hidden="false" customHeight="true" outlineLevel="0" collapsed="false">
      <c r="A36" s="4" t="n">
        <v>1216</v>
      </c>
      <c r="B36" s="4" t="s">
        <v>84</v>
      </c>
      <c r="C36" s="5" t="s">
        <v>85</v>
      </c>
      <c r="D36" s="6" t="n">
        <v>10</v>
      </c>
      <c r="E36" s="4"/>
      <c r="F36" s="7" t="n">
        <f aca="false">IFERROR(__xludf.dummyfunction("COUNT(FILTER(Ingredientes!A:A,Ingredientes!A:A=A36))"),1)</f>
        <v>1</v>
      </c>
      <c r="G36" s="7" t="n">
        <f aca="false">IFERROR(__xludf.dummyfunction("COUNT(FILTER(Ingredientes!A:A,Ingredientes!C:C=A36))"),5)</f>
        <v>5</v>
      </c>
      <c r="H36" s="7" t="n">
        <v>24</v>
      </c>
      <c r="I36" s="4" t="n">
        <v>1</v>
      </c>
      <c r="J36" s="4" t="s">
        <v>28</v>
      </c>
      <c r="K36" s="7" t="n">
        <v>10</v>
      </c>
      <c r="L36" s="7" t="n">
        <v>30</v>
      </c>
      <c r="M36" s="8" t="str">
        <f aca="false">IFERROR(__xludf.dummyfunction("JOIN("","", iferror(filter('Asignación'!C:C,'Asignación'!A:A=A36),{1,2,3,4,5,6,7,8,9,10,11,12,13,14}))"),"1,2,3,4,5,6,7,8,9,10,11,12,13,14")</f>
        <v>1,2,3,4,5,6,7,8,9,10,11,12,13,14</v>
      </c>
      <c r="N36" s="4" t="n">
        <f aca="false">IFERROR(__xludf.dummyfunction("countunique(iferror(filter('Asignación'!C:C,'Asignación'!A:A=A36),{1,2,3,4,5,6,7,8,9,10,11,12,13,14}))"),14)</f>
        <v>14</v>
      </c>
      <c r="O36" s="9" t="n">
        <f aca="false">IFERROR(__xludf.dummyfunction("iferror(match(O$1,SPLIT($M36,"",""),0)&gt;0,false)"),1)</f>
        <v>1</v>
      </c>
      <c r="P36" s="9" t="n">
        <f aca="false">IFERROR(__xludf.dummyfunction("iferror(match(O$1,SPLIT($M36,"",""),0)&gt;0,false)"),1)</f>
        <v>1</v>
      </c>
      <c r="Q36" s="9" t="n">
        <f aca="false">IFERROR(__xludf.dummyfunction("iferror(match(O$1,SPLIT($M36,"",""),0)&gt;0,false)"),1)</f>
        <v>1</v>
      </c>
      <c r="R36" s="9" t="n">
        <f aca="false">IFERROR(__xludf.dummyfunction("iferror(match(O$1,SPLIT($M36,"",""),0)&gt;0,false)"),1)</f>
        <v>1</v>
      </c>
      <c r="S36" s="9" t="n">
        <f aca="false">IFERROR(__xludf.dummyfunction("iferror(match(O$1,SPLIT($M36,"",""),0)&gt;0,false)"),1)</f>
        <v>1</v>
      </c>
      <c r="T36" s="9" t="n">
        <f aca="false">IFERROR(__xludf.dummyfunction("iferror(match(O$1,SPLIT($M36,"",""),0)&gt;0,false)"),1)</f>
        <v>1</v>
      </c>
      <c r="U36" s="9" t="n">
        <f aca="false">IFERROR(__xludf.dummyfunction("iferror(match(O$1,SPLIT($M36,"",""),0)&gt;0,false)"),1)</f>
        <v>1</v>
      </c>
      <c r="V36" s="9" t="n">
        <f aca="false">IFERROR(__xludf.dummyfunction("iferror(match(O$1,SPLIT($M36,"",""),0)&gt;0,false)"),1)</f>
        <v>1</v>
      </c>
      <c r="W36" s="9" t="n">
        <f aca="false">IFERROR(__xludf.dummyfunction("iferror(match(O$1,SPLIT($M36,"",""),0)&gt;0,false)"),1)</f>
        <v>1</v>
      </c>
      <c r="X36" s="9" t="n">
        <f aca="false">IFERROR(__xludf.dummyfunction("iferror(match(O$1,SPLIT($M36,"",""),0)&gt;0,false)"),1)</f>
        <v>1</v>
      </c>
      <c r="Y36" s="9" t="n">
        <f aca="false">IFERROR(__xludf.dummyfunction("iferror(match(O$1,SPLIT($M36,"",""),0)&gt;0,false)"),1)</f>
        <v>1</v>
      </c>
      <c r="Z36" s="9" t="n">
        <f aca="false">IFERROR(__xludf.dummyfunction("iferror(match(O$1,SPLIT($M36,"",""),0)&gt;0,false)"),1)</f>
        <v>1</v>
      </c>
      <c r="AA36" s="9" t="n">
        <f aca="false">IFERROR(__xludf.dummyfunction("iferror(match(O$1,SPLIT($M36,"",""),0)&gt;0,false)"),1)</f>
        <v>1</v>
      </c>
      <c r="AB36" s="9" t="n">
        <f aca="false">IFERROR(__xludf.dummyfunction("iferror(match(O$1,SPLIT($M36,"",""),0)&gt;0,false)"),1)</f>
        <v>1</v>
      </c>
      <c r="AC36" s="4" t="s">
        <v>18</v>
      </c>
    </row>
    <row r="37" customFormat="false" ht="15.75" hidden="false" customHeight="true" outlineLevel="0" collapsed="false">
      <c r="A37" s="4" t="n">
        <v>1301</v>
      </c>
      <c r="B37" s="4" t="s">
        <v>86</v>
      </c>
      <c r="C37" s="5" t="s">
        <v>87</v>
      </c>
      <c r="D37" s="6" t="n">
        <v>10</v>
      </c>
      <c r="E37" s="6"/>
      <c r="F37" s="7" t="n">
        <f aca="false">IFERROR(__xludf.dummyfunction("COUNT(FILTER(Ingredientes!A:A,Ingredientes!A:A=A37))"),1)</f>
        <v>1</v>
      </c>
      <c r="G37" s="7" t="n">
        <f aca="false">IFERROR(__xludf.dummyfunction("COUNT(FILTER(Ingredientes!A:A,Ingredientes!C:C=A37))"),5)</f>
        <v>5</v>
      </c>
      <c r="H37" s="7" t="n">
        <v>2</v>
      </c>
      <c r="I37" s="4" t="n">
        <v>1</v>
      </c>
      <c r="J37" s="4" t="s">
        <v>28</v>
      </c>
      <c r="K37" s="7" t="n">
        <v>5</v>
      </c>
      <c r="L37" s="7" t="n">
        <v>10</v>
      </c>
      <c r="M37" s="8" t="str">
        <f aca="false">IFERROR(__xludf.dummyfunction("JOIN("","", iferror(filter('Asignación'!C:C,'Asignación'!A:A=A37),{1,2,3,4,5,6,7,8,9,10,11,12,13,14}))"),"1,2,3,4,5,6,7,8,9,10,11,12,13,14")</f>
        <v>1,2,3,4,5,6,7,8,9,10,11,12,13,14</v>
      </c>
      <c r="N37" s="4" t="n">
        <f aca="false">IFERROR(__xludf.dummyfunction("countunique(iferror(filter('Asignación'!C:C,'Asignación'!A:A=A37),{1,2,3,4,5,6,7,8,9,10,11,12,13,14}))"),14)</f>
        <v>14</v>
      </c>
      <c r="O37" s="9" t="n">
        <f aca="false">IFERROR(__xludf.dummyfunction("iferror(match(O$1,SPLIT($M37,"",""),0)&gt;0,false)"),1)</f>
        <v>1</v>
      </c>
      <c r="P37" s="9" t="n">
        <f aca="false">IFERROR(__xludf.dummyfunction("iferror(match(O$1,SPLIT($M37,"",""),0)&gt;0,false)"),1)</f>
        <v>1</v>
      </c>
      <c r="Q37" s="9" t="n">
        <f aca="false">IFERROR(__xludf.dummyfunction("iferror(match(O$1,SPLIT($M37,"",""),0)&gt;0,false)"),1)</f>
        <v>1</v>
      </c>
      <c r="R37" s="9" t="n">
        <f aca="false">IFERROR(__xludf.dummyfunction("iferror(match(O$1,SPLIT($M37,"",""),0)&gt;0,false)"),1)</f>
        <v>1</v>
      </c>
      <c r="S37" s="9" t="n">
        <f aca="false">IFERROR(__xludf.dummyfunction("iferror(match(O$1,SPLIT($M37,"",""),0)&gt;0,false)"),1)</f>
        <v>1</v>
      </c>
      <c r="T37" s="9" t="n">
        <f aca="false">IFERROR(__xludf.dummyfunction("iferror(match(O$1,SPLIT($M37,"",""),0)&gt;0,false)"),1)</f>
        <v>1</v>
      </c>
      <c r="U37" s="9" t="n">
        <f aca="false">IFERROR(__xludf.dummyfunction("iferror(match(O$1,SPLIT($M37,"",""),0)&gt;0,false)"),1)</f>
        <v>1</v>
      </c>
      <c r="V37" s="9" t="n">
        <f aca="false">IFERROR(__xludf.dummyfunction("iferror(match(O$1,SPLIT($M37,"",""),0)&gt;0,false)"),1)</f>
        <v>1</v>
      </c>
      <c r="W37" s="9" t="n">
        <f aca="false">IFERROR(__xludf.dummyfunction("iferror(match(O$1,SPLIT($M37,"",""),0)&gt;0,false)"),1)</f>
        <v>1</v>
      </c>
      <c r="X37" s="9" t="n">
        <f aca="false">IFERROR(__xludf.dummyfunction("iferror(match(O$1,SPLIT($M37,"",""),0)&gt;0,false)"),1)</f>
        <v>1</v>
      </c>
      <c r="Y37" s="9" t="n">
        <f aca="false">IFERROR(__xludf.dummyfunction("iferror(match(O$1,SPLIT($M37,"",""),0)&gt;0,false)"),1)</f>
        <v>1</v>
      </c>
      <c r="Z37" s="9" t="n">
        <f aca="false">IFERROR(__xludf.dummyfunction("iferror(match(O$1,SPLIT($M37,"",""),0)&gt;0,false)"),1)</f>
        <v>1</v>
      </c>
      <c r="AA37" s="9" t="n">
        <f aca="false">IFERROR(__xludf.dummyfunction("iferror(match(O$1,SPLIT($M37,"",""),0)&gt;0,false)"),1)</f>
        <v>1</v>
      </c>
      <c r="AB37" s="9" t="n">
        <f aca="false">IFERROR(__xludf.dummyfunction("iferror(match(O$1,SPLIT($M37,"",""),0)&gt;0,false)"),1)</f>
        <v>1</v>
      </c>
      <c r="AC37" s="4" t="s">
        <v>18</v>
      </c>
    </row>
    <row r="38" customFormat="false" ht="15.75" hidden="false" customHeight="true" outlineLevel="0" collapsed="false">
      <c r="A38" s="4" t="n">
        <v>1307</v>
      </c>
      <c r="B38" s="4" t="s">
        <v>88</v>
      </c>
      <c r="C38" s="5" t="s">
        <v>89</v>
      </c>
      <c r="D38" s="6" t="n">
        <v>50</v>
      </c>
      <c r="E38" s="6"/>
      <c r="F38" s="7" t="n">
        <f aca="false">IFERROR(__xludf.dummyfunction("COUNT(FILTER(Ingredientes!A:A,Ingredientes!A:A=A38))"),1)</f>
        <v>1</v>
      </c>
      <c r="G38" s="7" t="n">
        <f aca="false">IFERROR(__xludf.dummyfunction("COUNT(FILTER(Ingredientes!A:A,Ingredientes!C:C=A38))"),5)</f>
        <v>5</v>
      </c>
      <c r="H38" s="7" t="n">
        <v>1.2</v>
      </c>
      <c r="I38" s="4" t="n">
        <v>1</v>
      </c>
      <c r="J38" s="4" t="s">
        <v>28</v>
      </c>
      <c r="K38" s="7" t="n">
        <v>11</v>
      </c>
      <c r="L38" s="7" t="n">
        <v>30</v>
      </c>
      <c r="M38" s="8" t="str">
        <f aca="false">IFERROR(__xludf.dummyfunction("JOIN("","", iferror(filter('Asignación'!C:C,'Asignación'!A:A=A38),{1,2,3,4,5,6,7,8,9,10,11,12,13,14}))"),"1,2,3,4,5,6,7,8,9,10,11,12,13,14")</f>
        <v>1,2,3,4,5,6,7,8,9,10,11,12,13,14</v>
      </c>
      <c r="N38" s="4" t="n">
        <f aca="false">IFERROR(__xludf.dummyfunction("countunique(iferror(filter('Asignación'!C:C,'Asignación'!A:A=A38),{1,2,3,4,5,6,7,8,9,10,11,12,13,14}))"),14)</f>
        <v>14</v>
      </c>
      <c r="O38" s="9" t="n">
        <f aca="false">IFERROR(__xludf.dummyfunction("iferror(match(O$1,SPLIT($M38,"",""),0)&gt;0,false)"),1)</f>
        <v>1</v>
      </c>
      <c r="P38" s="9" t="n">
        <f aca="false">IFERROR(__xludf.dummyfunction("iferror(match(O$1,SPLIT($M38,"",""),0)&gt;0,false)"),1)</f>
        <v>1</v>
      </c>
      <c r="Q38" s="9" t="n">
        <f aca="false">IFERROR(__xludf.dummyfunction("iferror(match(O$1,SPLIT($M38,"",""),0)&gt;0,false)"),1)</f>
        <v>1</v>
      </c>
      <c r="R38" s="9" t="n">
        <f aca="false">IFERROR(__xludf.dummyfunction("iferror(match(O$1,SPLIT($M38,"",""),0)&gt;0,false)"),1)</f>
        <v>1</v>
      </c>
      <c r="S38" s="9" t="n">
        <f aca="false">IFERROR(__xludf.dummyfunction("iferror(match(O$1,SPLIT($M38,"",""),0)&gt;0,false)"),1)</f>
        <v>1</v>
      </c>
      <c r="T38" s="9" t="n">
        <f aca="false">IFERROR(__xludf.dummyfunction("iferror(match(O$1,SPLIT($M38,"",""),0)&gt;0,false)"),1)</f>
        <v>1</v>
      </c>
      <c r="U38" s="9" t="n">
        <f aca="false">IFERROR(__xludf.dummyfunction("iferror(match(O$1,SPLIT($M38,"",""),0)&gt;0,false)"),1)</f>
        <v>1</v>
      </c>
      <c r="V38" s="9" t="n">
        <f aca="false">IFERROR(__xludf.dummyfunction("iferror(match(O$1,SPLIT($M38,"",""),0)&gt;0,false)"),1)</f>
        <v>1</v>
      </c>
      <c r="W38" s="9" t="n">
        <f aca="false">IFERROR(__xludf.dummyfunction("iferror(match(O$1,SPLIT($M38,"",""),0)&gt;0,false)"),1)</f>
        <v>1</v>
      </c>
      <c r="X38" s="9" t="n">
        <f aca="false">IFERROR(__xludf.dummyfunction("iferror(match(O$1,SPLIT($M38,"",""),0)&gt;0,false)"),1)</f>
        <v>1</v>
      </c>
      <c r="Y38" s="9" t="n">
        <f aca="false">IFERROR(__xludf.dummyfunction("iferror(match(O$1,SPLIT($M38,"",""),0)&gt;0,false)"),1)</f>
        <v>1</v>
      </c>
      <c r="Z38" s="9" t="n">
        <f aca="false">IFERROR(__xludf.dummyfunction("iferror(match(O$1,SPLIT($M38,"",""),0)&gt;0,false)"),1)</f>
        <v>1</v>
      </c>
      <c r="AA38" s="9" t="n">
        <f aca="false">IFERROR(__xludf.dummyfunction("iferror(match(O$1,SPLIT($M38,"",""),0)&gt;0,false)"),1)</f>
        <v>1</v>
      </c>
      <c r="AB38" s="9" t="n">
        <f aca="false">IFERROR(__xludf.dummyfunction("iferror(match(O$1,SPLIT($M38,"",""),0)&gt;0,false)"),1)</f>
        <v>1</v>
      </c>
      <c r="AC38" s="4" t="s">
        <v>18</v>
      </c>
    </row>
    <row r="39" customFormat="false" ht="15.75" hidden="false" customHeight="true" outlineLevel="0" collapsed="false">
      <c r="A39" s="4" t="n">
        <v>1309</v>
      </c>
      <c r="B39" s="4" t="s">
        <v>90</v>
      </c>
      <c r="C39" s="5" t="s">
        <v>91</v>
      </c>
      <c r="D39" s="6" t="n">
        <v>50</v>
      </c>
      <c r="E39" s="6"/>
      <c r="F39" s="7" t="n">
        <f aca="false">IFERROR(__xludf.dummyfunction("COUNT(FILTER(Ingredientes!A:A,Ingredientes!A:A=A39))"),1)</f>
        <v>1</v>
      </c>
      <c r="G39" s="7" t="n">
        <f aca="false">IFERROR(__xludf.dummyfunction("COUNT(FILTER(Ingredientes!A:A,Ingredientes!C:C=A39))"),5)</f>
        <v>5</v>
      </c>
      <c r="H39" s="7" t="n">
        <v>1.2</v>
      </c>
      <c r="I39" s="4" t="n">
        <v>1</v>
      </c>
      <c r="J39" s="4" t="s">
        <v>28</v>
      </c>
      <c r="K39" s="7" t="n">
        <v>11</v>
      </c>
      <c r="L39" s="7" t="n">
        <v>50</v>
      </c>
      <c r="M39" s="8" t="str">
        <f aca="false">IFERROR(__xludf.dummyfunction("JOIN("","", iferror(filter('Asignación'!C:C,'Asignación'!A:A=A39),{1,2,3,4,5,6,7,8,9,10,11,12,13,14}))"),"1,2,3,4,5,6,7,8,9,10,11,12,13,14")</f>
        <v>1,2,3,4,5,6,7,8,9,10,11,12,13,14</v>
      </c>
      <c r="N39" s="4" t="n">
        <f aca="false">IFERROR(__xludf.dummyfunction("countunique(iferror(filter('Asignación'!C:C,'Asignación'!A:A=A39),{1,2,3,4,5,6,7,8,9,10,11,12,13,14}))"),14)</f>
        <v>14</v>
      </c>
      <c r="O39" s="9" t="n">
        <f aca="false">IFERROR(__xludf.dummyfunction("iferror(match(O$1,SPLIT($M39,"",""),0)&gt;0,false)"),1)</f>
        <v>1</v>
      </c>
      <c r="P39" s="9" t="n">
        <f aca="false">IFERROR(__xludf.dummyfunction("iferror(match(O$1,SPLIT($M39,"",""),0)&gt;0,false)"),1)</f>
        <v>1</v>
      </c>
      <c r="Q39" s="9" t="n">
        <f aca="false">IFERROR(__xludf.dummyfunction("iferror(match(O$1,SPLIT($M39,"",""),0)&gt;0,false)"),1)</f>
        <v>1</v>
      </c>
      <c r="R39" s="9" t="n">
        <f aca="false">IFERROR(__xludf.dummyfunction("iferror(match(O$1,SPLIT($M39,"",""),0)&gt;0,false)"),1)</f>
        <v>1</v>
      </c>
      <c r="S39" s="9" t="n">
        <f aca="false">IFERROR(__xludf.dummyfunction("iferror(match(O$1,SPLIT($M39,"",""),0)&gt;0,false)"),1)</f>
        <v>1</v>
      </c>
      <c r="T39" s="9" t="n">
        <f aca="false">IFERROR(__xludf.dummyfunction("iferror(match(O$1,SPLIT($M39,"",""),0)&gt;0,false)"),1)</f>
        <v>1</v>
      </c>
      <c r="U39" s="9" t="n">
        <f aca="false">IFERROR(__xludf.dummyfunction("iferror(match(O$1,SPLIT($M39,"",""),0)&gt;0,false)"),1)</f>
        <v>1</v>
      </c>
      <c r="V39" s="9" t="n">
        <f aca="false">IFERROR(__xludf.dummyfunction("iferror(match(O$1,SPLIT($M39,"",""),0)&gt;0,false)"),1)</f>
        <v>1</v>
      </c>
      <c r="W39" s="9" t="n">
        <f aca="false">IFERROR(__xludf.dummyfunction("iferror(match(O$1,SPLIT($M39,"",""),0)&gt;0,false)"),1)</f>
        <v>1</v>
      </c>
      <c r="X39" s="9" t="n">
        <f aca="false">IFERROR(__xludf.dummyfunction("iferror(match(O$1,SPLIT($M39,"",""),0)&gt;0,false)"),1)</f>
        <v>1</v>
      </c>
      <c r="Y39" s="9" t="n">
        <f aca="false">IFERROR(__xludf.dummyfunction("iferror(match(O$1,SPLIT($M39,"",""),0)&gt;0,false)"),1)</f>
        <v>1</v>
      </c>
      <c r="Z39" s="9" t="n">
        <f aca="false">IFERROR(__xludf.dummyfunction("iferror(match(O$1,SPLIT($M39,"",""),0)&gt;0,false)"),1)</f>
        <v>1</v>
      </c>
      <c r="AA39" s="9" t="n">
        <f aca="false">IFERROR(__xludf.dummyfunction("iferror(match(O$1,SPLIT($M39,"",""),0)&gt;0,false)"),1)</f>
        <v>1</v>
      </c>
      <c r="AB39" s="9" t="n">
        <f aca="false">IFERROR(__xludf.dummyfunction("iferror(match(O$1,SPLIT($M39,"",""),0)&gt;0,false)"),1)</f>
        <v>1</v>
      </c>
      <c r="AC39" s="4" t="s">
        <v>18</v>
      </c>
    </row>
    <row r="40" customFormat="false" ht="15.75" hidden="false" customHeight="true" outlineLevel="0" collapsed="false">
      <c r="A40" s="4" t="n">
        <v>1310</v>
      </c>
      <c r="B40" s="4" t="s">
        <v>92</v>
      </c>
      <c r="C40" s="5" t="s">
        <v>93</v>
      </c>
      <c r="D40" s="6" t="n">
        <v>10</v>
      </c>
      <c r="E40" s="6"/>
      <c r="F40" s="7" t="n">
        <f aca="false">IFERROR(__xludf.dummyfunction("COUNT(FILTER(Ingredientes!A:A,Ingredientes!A:A=A40))"),1)</f>
        <v>1</v>
      </c>
      <c r="G40" s="7" t="n">
        <f aca="false">IFERROR(__xludf.dummyfunction("COUNT(FILTER(Ingredientes!A:A,Ingredientes!C:C=A40))"),2)</f>
        <v>2</v>
      </c>
      <c r="H40" s="7" t="n">
        <v>2</v>
      </c>
      <c r="I40" s="4" t="n">
        <v>1</v>
      </c>
      <c r="J40" s="4" t="s">
        <v>28</v>
      </c>
      <c r="K40" s="7" t="n">
        <v>12</v>
      </c>
      <c r="L40" s="7" t="n">
        <v>10</v>
      </c>
      <c r="M40" s="8" t="str">
        <f aca="false">IFERROR(__xludf.dummyfunction("JOIN("","", iferror(filter('Asignación'!C:C,'Asignación'!A:A=A40),{1,2,3,4,5,6,7,8,9,10,11,12,13,14}))"),"1,2,3,4,5,6,7,8,9,10,11,12,13,14")</f>
        <v>1,2,3,4,5,6,7,8,9,10,11,12,13,14</v>
      </c>
      <c r="N40" s="4" t="n">
        <f aca="false">IFERROR(__xludf.dummyfunction("countunique(iferror(filter('Asignación'!C:C,'Asignación'!A:A=A40),{1,2,3,4,5,6,7,8,9,10,11,12,13,14}))"),14)</f>
        <v>14</v>
      </c>
      <c r="O40" s="9" t="n">
        <f aca="false">IFERROR(__xludf.dummyfunction("iferror(match(O$1,SPLIT($M40,"",""),0)&gt;0,false)"),1)</f>
        <v>1</v>
      </c>
      <c r="P40" s="9" t="n">
        <f aca="false">IFERROR(__xludf.dummyfunction("iferror(match(O$1,SPLIT($M40,"",""),0)&gt;0,false)"),1)</f>
        <v>1</v>
      </c>
      <c r="Q40" s="9" t="n">
        <f aca="false">IFERROR(__xludf.dummyfunction("iferror(match(O$1,SPLIT($M40,"",""),0)&gt;0,false)"),1)</f>
        <v>1</v>
      </c>
      <c r="R40" s="9" t="n">
        <f aca="false">IFERROR(__xludf.dummyfunction("iferror(match(O$1,SPLIT($M40,"",""),0)&gt;0,false)"),1)</f>
        <v>1</v>
      </c>
      <c r="S40" s="9" t="n">
        <f aca="false">IFERROR(__xludf.dummyfunction("iferror(match(O$1,SPLIT($M40,"",""),0)&gt;0,false)"),1)</f>
        <v>1</v>
      </c>
      <c r="T40" s="9" t="n">
        <f aca="false">IFERROR(__xludf.dummyfunction("iferror(match(O$1,SPLIT($M40,"",""),0)&gt;0,false)"),1)</f>
        <v>1</v>
      </c>
      <c r="U40" s="9" t="n">
        <f aca="false">IFERROR(__xludf.dummyfunction("iferror(match(O$1,SPLIT($M40,"",""),0)&gt;0,false)"),1)</f>
        <v>1</v>
      </c>
      <c r="V40" s="9" t="n">
        <f aca="false">IFERROR(__xludf.dummyfunction("iferror(match(O$1,SPLIT($M40,"",""),0)&gt;0,false)"),1)</f>
        <v>1</v>
      </c>
      <c r="W40" s="9" t="n">
        <f aca="false">IFERROR(__xludf.dummyfunction("iferror(match(O$1,SPLIT($M40,"",""),0)&gt;0,false)"),1)</f>
        <v>1</v>
      </c>
      <c r="X40" s="9" t="n">
        <f aca="false">IFERROR(__xludf.dummyfunction("iferror(match(O$1,SPLIT($M40,"",""),0)&gt;0,false)"),1)</f>
        <v>1</v>
      </c>
      <c r="Y40" s="9" t="n">
        <f aca="false">IFERROR(__xludf.dummyfunction("iferror(match(O$1,SPLIT($M40,"",""),0)&gt;0,false)"),1)</f>
        <v>1</v>
      </c>
      <c r="Z40" s="9" t="n">
        <f aca="false">IFERROR(__xludf.dummyfunction("iferror(match(O$1,SPLIT($M40,"",""),0)&gt;0,false)"),1)</f>
        <v>1</v>
      </c>
      <c r="AA40" s="9" t="n">
        <f aca="false">IFERROR(__xludf.dummyfunction("iferror(match(O$1,SPLIT($M40,"",""),0)&gt;0,false)"),1)</f>
        <v>1</v>
      </c>
      <c r="AB40" s="9" t="n">
        <f aca="false">IFERROR(__xludf.dummyfunction("iferror(match(O$1,SPLIT($M40,"",""),0)&gt;0,false)"),1)</f>
        <v>1</v>
      </c>
      <c r="AC40" s="4" t="s">
        <v>18</v>
      </c>
    </row>
    <row r="41" customFormat="false" ht="15.75" hidden="false" customHeight="true" outlineLevel="0" collapsed="false">
      <c r="A41" s="4" t="n">
        <v>1407</v>
      </c>
      <c r="B41" s="4" t="s">
        <v>94</v>
      </c>
      <c r="C41" s="5" t="s">
        <v>95</v>
      </c>
      <c r="D41" s="6" t="n">
        <v>10</v>
      </c>
      <c r="E41" s="6"/>
      <c r="F41" s="7" t="n">
        <f aca="false">IFERROR(__xludf.dummyfunction("COUNT(FILTER(Ingredientes!A:A,Ingredientes!A:A=A41))"),1)</f>
        <v>1</v>
      </c>
      <c r="G41" s="7" t="n">
        <f aca="false">IFERROR(__xludf.dummyfunction("COUNT(FILTER(Ingredientes!A:A,Ingredientes!C:C=A41))"),4)</f>
        <v>4</v>
      </c>
      <c r="H41" s="7" t="n">
        <v>2</v>
      </c>
      <c r="I41" s="4" t="n">
        <v>1</v>
      </c>
      <c r="J41" s="4" t="s">
        <v>28</v>
      </c>
      <c r="K41" s="7" t="n">
        <v>14</v>
      </c>
      <c r="L41" s="7" t="n">
        <v>30</v>
      </c>
      <c r="M41" s="8" t="str">
        <f aca="false">IFERROR(__xludf.dummyfunction("JOIN("","", iferror(filter('Asignación'!C:C,'Asignación'!A:A=A41),{1,2,3,4,5,6,7,8,9,10,11,12,13,14}))"),"1,2,3,4,5,6,7,8,9,10,11,12,13,14")</f>
        <v>1,2,3,4,5,6,7,8,9,10,11,12,13,14</v>
      </c>
      <c r="N41" s="4" t="n">
        <f aca="false">IFERROR(__xludf.dummyfunction("countunique(iferror(filter('Asignación'!C:C,'Asignación'!A:A=A41),{1,2,3,4,5,6,7,8,9,10,11,12,13,14}))"),14)</f>
        <v>14</v>
      </c>
      <c r="O41" s="9" t="n">
        <f aca="false">IFERROR(__xludf.dummyfunction("iferror(match(O$1,SPLIT($M41,"",""),0)&gt;0,false)"),1)</f>
        <v>1</v>
      </c>
      <c r="P41" s="9" t="n">
        <f aca="false">IFERROR(__xludf.dummyfunction("iferror(match(O$1,SPLIT($M41,"",""),0)&gt;0,false)"),1)</f>
        <v>1</v>
      </c>
      <c r="Q41" s="9" t="n">
        <f aca="false">IFERROR(__xludf.dummyfunction("iferror(match(O$1,SPLIT($M41,"",""),0)&gt;0,false)"),1)</f>
        <v>1</v>
      </c>
      <c r="R41" s="9" t="n">
        <f aca="false">IFERROR(__xludf.dummyfunction("iferror(match(O$1,SPLIT($M41,"",""),0)&gt;0,false)"),1)</f>
        <v>1</v>
      </c>
      <c r="S41" s="9" t="n">
        <f aca="false">IFERROR(__xludf.dummyfunction("iferror(match(O$1,SPLIT($M41,"",""),0)&gt;0,false)"),1)</f>
        <v>1</v>
      </c>
      <c r="T41" s="9" t="n">
        <f aca="false">IFERROR(__xludf.dummyfunction("iferror(match(O$1,SPLIT($M41,"",""),0)&gt;0,false)"),1)</f>
        <v>1</v>
      </c>
      <c r="U41" s="9" t="n">
        <f aca="false">IFERROR(__xludf.dummyfunction("iferror(match(O$1,SPLIT($M41,"",""),0)&gt;0,false)"),1)</f>
        <v>1</v>
      </c>
      <c r="V41" s="9" t="n">
        <f aca="false">IFERROR(__xludf.dummyfunction("iferror(match(O$1,SPLIT($M41,"",""),0)&gt;0,false)"),1)</f>
        <v>1</v>
      </c>
      <c r="W41" s="9" t="n">
        <f aca="false">IFERROR(__xludf.dummyfunction("iferror(match(O$1,SPLIT($M41,"",""),0)&gt;0,false)"),1)</f>
        <v>1</v>
      </c>
      <c r="X41" s="9" t="n">
        <f aca="false">IFERROR(__xludf.dummyfunction("iferror(match(O$1,SPLIT($M41,"",""),0)&gt;0,false)"),1)</f>
        <v>1</v>
      </c>
      <c r="Y41" s="9" t="n">
        <f aca="false">IFERROR(__xludf.dummyfunction("iferror(match(O$1,SPLIT($M41,"",""),0)&gt;0,false)"),1)</f>
        <v>1</v>
      </c>
      <c r="Z41" s="9" t="n">
        <f aca="false">IFERROR(__xludf.dummyfunction("iferror(match(O$1,SPLIT($M41,"",""),0)&gt;0,false)"),1)</f>
        <v>1</v>
      </c>
      <c r="AA41" s="9" t="n">
        <f aca="false">IFERROR(__xludf.dummyfunction("iferror(match(O$1,SPLIT($M41,"",""),0)&gt;0,false)"),1)</f>
        <v>1</v>
      </c>
      <c r="AB41" s="9" t="n">
        <f aca="false">IFERROR(__xludf.dummyfunction("iferror(match(O$1,SPLIT($M41,"",""),0)&gt;0,false)"),1)</f>
        <v>1</v>
      </c>
      <c r="AC41" s="4" t="s">
        <v>18</v>
      </c>
    </row>
    <row r="42" customFormat="false" ht="15.75" hidden="false" customHeight="true" outlineLevel="0" collapsed="false">
      <c r="A42" s="4" t="n">
        <v>10001</v>
      </c>
      <c r="B42" s="4" t="s">
        <v>96</v>
      </c>
      <c r="C42" s="5" t="s">
        <v>97</v>
      </c>
      <c r="D42" s="6" t="n">
        <v>10</v>
      </c>
      <c r="E42" s="6" t="n">
        <v>4500</v>
      </c>
      <c r="F42" s="7" t="n">
        <f aca="false">IFERROR(__xludf.dummyfunction("COUNT(FILTER(Ingredientes!A:A,Ingredientes!A:A=A42))"),5)</f>
        <v>5</v>
      </c>
      <c r="G42" s="7" t="n">
        <f aca="false">IFERROR(__xludf.dummyfunction("COUNT(FILTER(Ingredientes!A:A,Ingredientes!C:C=A42))"),0)</f>
        <v>0</v>
      </c>
      <c r="H42" s="7" t="n">
        <v>1</v>
      </c>
      <c r="I42" s="4" t="n">
        <v>1</v>
      </c>
      <c r="J42" s="4" t="s">
        <v>28</v>
      </c>
      <c r="K42" s="7" t="n">
        <v>1</v>
      </c>
      <c r="L42" s="7" t="n">
        <v>10</v>
      </c>
      <c r="M42" s="8" t="str">
        <f aca="false">IFERROR(__xludf.dummyfunction("JOIN("","", iferror(filter('Asignación'!C:C,'Asignación'!A:A=A42),{1,2,3,4,5,6,7,8,9,10,11,12,13,14}))"),"1,2,3,4,5,6,7,8,9,10,11,12,13,14")</f>
        <v>1,2,3,4,5,6,7,8,9,10,11,12,13,14</v>
      </c>
      <c r="N42" s="4" t="n">
        <f aca="false">IFERROR(__xludf.dummyfunction("countunique(iferror(filter('Asignación'!C:C,'Asignación'!A:A=A42),{1,2,3,4,5,6,7,8,9,10,11,12,13,14}))"),14)</f>
        <v>14</v>
      </c>
      <c r="O42" s="9" t="n">
        <f aca="false">IFERROR(__xludf.dummyfunction("iferror(match(O$1,SPLIT($M42,"",""),0)&gt;0,false)"),1)</f>
        <v>1</v>
      </c>
      <c r="P42" s="9" t="n">
        <f aca="false">IFERROR(__xludf.dummyfunction("iferror(match(O$1,SPLIT($M42,"",""),0)&gt;0,false)"),1)</f>
        <v>1</v>
      </c>
      <c r="Q42" s="9" t="n">
        <f aca="false">IFERROR(__xludf.dummyfunction("iferror(match(O$1,SPLIT($M42,"",""),0)&gt;0,false)"),1)</f>
        <v>1</v>
      </c>
      <c r="R42" s="9" t="n">
        <f aca="false">IFERROR(__xludf.dummyfunction("iferror(match(O$1,SPLIT($M42,"",""),0)&gt;0,false)"),1)</f>
        <v>1</v>
      </c>
      <c r="S42" s="9" t="n">
        <f aca="false">IFERROR(__xludf.dummyfunction("iferror(match(O$1,SPLIT($M42,"",""),0)&gt;0,false)"),1)</f>
        <v>1</v>
      </c>
      <c r="T42" s="9" t="n">
        <f aca="false">IFERROR(__xludf.dummyfunction("iferror(match(O$1,SPLIT($M42,"",""),0)&gt;0,false)"),1)</f>
        <v>1</v>
      </c>
      <c r="U42" s="9" t="n">
        <f aca="false">IFERROR(__xludf.dummyfunction("iferror(match(O$1,SPLIT($M42,"",""),0)&gt;0,false)"),1)</f>
        <v>1</v>
      </c>
      <c r="V42" s="9" t="n">
        <f aca="false">IFERROR(__xludf.dummyfunction("iferror(match(O$1,SPLIT($M42,"",""),0)&gt;0,false)"),1)</f>
        <v>1</v>
      </c>
      <c r="W42" s="9" t="n">
        <f aca="false">IFERROR(__xludf.dummyfunction("iferror(match(O$1,SPLIT($M42,"",""),0)&gt;0,false)"),1)</f>
        <v>1</v>
      </c>
      <c r="X42" s="9" t="n">
        <f aca="false">IFERROR(__xludf.dummyfunction("iferror(match(O$1,SPLIT($M42,"",""),0)&gt;0,false)"),1)</f>
        <v>1</v>
      </c>
      <c r="Y42" s="9" t="n">
        <f aca="false">IFERROR(__xludf.dummyfunction("iferror(match(O$1,SPLIT($M42,"",""),0)&gt;0,false)"),1)</f>
        <v>1</v>
      </c>
      <c r="Z42" s="9" t="n">
        <f aca="false">IFERROR(__xludf.dummyfunction("iferror(match(O$1,SPLIT($M42,"",""),0)&gt;0,false)"),1)</f>
        <v>1</v>
      </c>
      <c r="AA42" s="9" t="n">
        <f aca="false">IFERROR(__xludf.dummyfunction("iferror(match(O$1,SPLIT($M42,"",""),0)&gt;0,false)"),1)</f>
        <v>1</v>
      </c>
      <c r="AB42" s="9" t="n">
        <f aca="false">IFERROR(__xludf.dummyfunction("iferror(match(O$1,SPLIT($M42,"",""),0)&gt;0,false)"),1)</f>
        <v>1</v>
      </c>
      <c r="AC42" s="4" t="s">
        <v>98</v>
      </c>
    </row>
    <row r="43" customFormat="false" ht="15.75" hidden="false" customHeight="true" outlineLevel="0" collapsed="false">
      <c r="A43" s="4" t="n">
        <v>10002</v>
      </c>
      <c r="B43" s="4" t="s">
        <v>99</v>
      </c>
      <c r="C43" s="5" t="s">
        <v>100</v>
      </c>
      <c r="D43" s="6" t="n">
        <v>10</v>
      </c>
      <c r="E43" s="6" t="n">
        <v>4500</v>
      </c>
      <c r="F43" s="7" t="n">
        <f aca="false">IFERROR(__xludf.dummyfunction("COUNT(FILTER(Ingredientes!A:A,Ingredientes!A:A=A43))"),5)</f>
        <v>5</v>
      </c>
      <c r="G43" s="7" t="n">
        <f aca="false">IFERROR(__xludf.dummyfunction("COUNT(FILTER(Ingredientes!A:A,Ingredientes!C:C=A43))"),0)</f>
        <v>0</v>
      </c>
      <c r="H43" s="7" t="n">
        <v>1</v>
      </c>
      <c r="I43" s="4" t="n">
        <v>1</v>
      </c>
      <c r="J43" s="4" t="s">
        <v>28</v>
      </c>
      <c r="K43" s="7" t="n">
        <v>1</v>
      </c>
      <c r="L43" s="7" t="n">
        <v>20</v>
      </c>
      <c r="M43" s="8" t="str">
        <f aca="false">IFERROR(__xludf.dummyfunction("JOIN("","", iferror(filter('Asignación'!C:C,'Asignación'!A:A=A43),{1,2,3,4,5,6,7,8,9,10,11,12,13,14}))"),"1,2,3,4,5,6,7,8,9,10,11,12,13,14")</f>
        <v>1,2,3,4,5,6,7,8,9,10,11,12,13,14</v>
      </c>
      <c r="N43" s="4" t="n">
        <f aca="false">IFERROR(__xludf.dummyfunction("countunique(iferror(filter('Asignación'!C:C,'Asignación'!A:A=A43),{1,2,3,4,5,6,7,8,9,10,11,12,13,14}))"),14)</f>
        <v>14</v>
      </c>
      <c r="O43" s="9" t="n">
        <f aca="false">IFERROR(__xludf.dummyfunction("iferror(match(O$1,SPLIT($M43,"",""),0)&gt;0,false)"),1)</f>
        <v>1</v>
      </c>
      <c r="P43" s="9" t="n">
        <f aca="false">IFERROR(__xludf.dummyfunction("iferror(match(O$1,SPLIT($M43,"",""),0)&gt;0,false)"),1)</f>
        <v>1</v>
      </c>
      <c r="Q43" s="9" t="n">
        <f aca="false">IFERROR(__xludf.dummyfunction("iferror(match(O$1,SPLIT($M43,"",""),0)&gt;0,false)"),1)</f>
        <v>1</v>
      </c>
      <c r="R43" s="9" t="n">
        <f aca="false">IFERROR(__xludf.dummyfunction("iferror(match(O$1,SPLIT($M43,"",""),0)&gt;0,false)"),1)</f>
        <v>1</v>
      </c>
      <c r="S43" s="9" t="n">
        <f aca="false">IFERROR(__xludf.dummyfunction("iferror(match(O$1,SPLIT($M43,"",""),0)&gt;0,false)"),1)</f>
        <v>1</v>
      </c>
      <c r="T43" s="9" t="n">
        <f aca="false">IFERROR(__xludf.dummyfunction("iferror(match(O$1,SPLIT($M43,"",""),0)&gt;0,false)"),1)</f>
        <v>1</v>
      </c>
      <c r="U43" s="9" t="n">
        <f aca="false">IFERROR(__xludf.dummyfunction("iferror(match(O$1,SPLIT($M43,"",""),0)&gt;0,false)"),1)</f>
        <v>1</v>
      </c>
      <c r="V43" s="9" t="n">
        <f aca="false">IFERROR(__xludf.dummyfunction("iferror(match(O$1,SPLIT($M43,"",""),0)&gt;0,false)"),1)</f>
        <v>1</v>
      </c>
      <c r="W43" s="9" t="n">
        <f aca="false">IFERROR(__xludf.dummyfunction("iferror(match(O$1,SPLIT($M43,"",""),0)&gt;0,false)"),1)</f>
        <v>1</v>
      </c>
      <c r="X43" s="9" t="n">
        <f aca="false">IFERROR(__xludf.dummyfunction("iferror(match(O$1,SPLIT($M43,"",""),0)&gt;0,false)"),1)</f>
        <v>1</v>
      </c>
      <c r="Y43" s="9" t="n">
        <f aca="false">IFERROR(__xludf.dummyfunction("iferror(match(O$1,SPLIT($M43,"",""),0)&gt;0,false)"),1)</f>
        <v>1</v>
      </c>
      <c r="Z43" s="9" t="n">
        <f aca="false">IFERROR(__xludf.dummyfunction("iferror(match(O$1,SPLIT($M43,"",""),0)&gt;0,false)"),1)</f>
        <v>1</v>
      </c>
      <c r="AA43" s="9" t="n">
        <f aca="false">IFERROR(__xludf.dummyfunction("iferror(match(O$1,SPLIT($M43,"",""),0)&gt;0,false)"),1)</f>
        <v>1</v>
      </c>
      <c r="AB43" s="9" t="n">
        <f aca="false">IFERROR(__xludf.dummyfunction("iferror(match(O$1,SPLIT($M43,"",""),0)&gt;0,false)"),1)</f>
        <v>1</v>
      </c>
      <c r="AC43" s="4" t="s">
        <v>98</v>
      </c>
    </row>
    <row r="44" customFormat="false" ht="15.75" hidden="false" customHeight="true" outlineLevel="0" collapsed="false">
      <c r="A44" s="4" t="n">
        <v>10003</v>
      </c>
      <c r="B44" s="4" t="s">
        <v>101</v>
      </c>
      <c r="C44" s="5" t="s">
        <v>102</v>
      </c>
      <c r="D44" s="6" t="n">
        <v>10</v>
      </c>
      <c r="E44" s="6" t="n">
        <v>4700</v>
      </c>
      <c r="F44" s="7" t="n">
        <f aca="false">IFERROR(__xludf.dummyfunction("COUNT(FILTER(Ingredientes!A:A,Ingredientes!A:A=A44))"),6)</f>
        <v>6</v>
      </c>
      <c r="G44" s="7" t="n">
        <f aca="false">IFERROR(__xludf.dummyfunction("COUNT(FILTER(Ingredientes!A:A,Ingredientes!C:C=A44))"),0)</f>
        <v>0</v>
      </c>
      <c r="H44" s="7" t="n">
        <v>1</v>
      </c>
      <c r="I44" s="4" t="n">
        <v>1</v>
      </c>
      <c r="J44" s="4" t="s">
        <v>28</v>
      </c>
      <c r="K44" s="7" t="n">
        <v>1</v>
      </c>
      <c r="L44" s="7" t="n">
        <v>30</v>
      </c>
      <c r="M44" s="8" t="str">
        <f aca="false">IFERROR(__xludf.dummyfunction("JOIN("","", iferror(filter('Asignación'!C:C,'Asignación'!A:A=A44),{1,2,3,4,5,6,7,8,9,10,11,12,13,14}))"),"1,2,3,4,5,6,7,8,9,10,11,12,13,14")</f>
        <v>1,2,3,4,5,6,7,8,9,10,11,12,13,14</v>
      </c>
      <c r="N44" s="4" t="n">
        <f aca="false">IFERROR(__xludf.dummyfunction("countunique(iferror(filter('Asignación'!C:C,'Asignación'!A:A=A44),{1,2,3,4,5,6,7,8,9,10,11,12,13,14}))"),14)</f>
        <v>14</v>
      </c>
      <c r="O44" s="9" t="n">
        <f aca="false">IFERROR(__xludf.dummyfunction("iferror(match(O$1,SPLIT($M44,"",""),0)&gt;0,false)"),1)</f>
        <v>1</v>
      </c>
      <c r="P44" s="9" t="n">
        <f aca="false">IFERROR(__xludf.dummyfunction("iferror(match(O$1,SPLIT($M44,"",""),0)&gt;0,false)"),1)</f>
        <v>1</v>
      </c>
      <c r="Q44" s="9" t="n">
        <f aca="false">IFERROR(__xludf.dummyfunction("iferror(match(O$1,SPLIT($M44,"",""),0)&gt;0,false)"),1)</f>
        <v>1</v>
      </c>
      <c r="R44" s="9" t="n">
        <f aca="false">IFERROR(__xludf.dummyfunction("iferror(match(O$1,SPLIT($M44,"",""),0)&gt;0,false)"),1)</f>
        <v>1</v>
      </c>
      <c r="S44" s="9" t="n">
        <f aca="false">IFERROR(__xludf.dummyfunction("iferror(match(O$1,SPLIT($M44,"",""),0)&gt;0,false)"),1)</f>
        <v>1</v>
      </c>
      <c r="T44" s="9" t="n">
        <f aca="false">IFERROR(__xludf.dummyfunction("iferror(match(O$1,SPLIT($M44,"",""),0)&gt;0,false)"),1)</f>
        <v>1</v>
      </c>
      <c r="U44" s="9" t="n">
        <f aca="false">IFERROR(__xludf.dummyfunction("iferror(match(O$1,SPLIT($M44,"",""),0)&gt;0,false)"),1)</f>
        <v>1</v>
      </c>
      <c r="V44" s="9" t="n">
        <f aca="false">IFERROR(__xludf.dummyfunction("iferror(match(O$1,SPLIT($M44,"",""),0)&gt;0,false)"),1)</f>
        <v>1</v>
      </c>
      <c r="W44" s="9" t="n">
        <f aca="false">IFERROR(__xludf.dummyfunction("iferror(match(O$1,SPLIT($M44,"",""),0)&gt;0,false)"),1)</f>
        <v>1</v>
      </c>
      <c r="X44" s="9" t="n">
        <f aca="false">IFERROR(__xludf.dummyfunction("iferror(match(O$1,SPLIT($M44,"",""),0)&gt;0,false)"),1)</f>
        <v>1</v>
      </c>
      <c r="Y44" s="9" t="n">
        <f aca="false">IFERROR(__xludf.dummyfunction("iferror(match(O$1,SPLIT($M44,"",""),0)&gt;0,false)"),1)</f>
        <v>1</v>
      </c>
      <c r="Z44" s="9" t="n">
        <f aca="false">IFERROR(__xludf.dummyfunction("iferror(match(O$1,SPLIT($M44,"",""),0)&gt;0,false)"),1)</f>
        <v>1</v>
      </c>
      <c r="AA44" s="9" t="n">
        <f aca="false">IFERROR(__xludf.dummyfunction("iferror(match(O$1,SPLIT($M44,"",""),0)&gt;0,false)"),1)</f>
        <v>1</v>
      </c>
      <c r="AB44" s="9" t="n">
        <f aca="false">IFERROR(__xludf.dummyfunction("iferror(match(O$1,SPLIT($M44,"",""),0)&gt;0,false)"),1)</f>
        <v>1</v>
      </c>
      <c r="AC44" s="4" t="s">
        <v>98</v>
      </c>
    </row>
    <row r="45" customFormat="false" ht="15.75" hidden="false" customHeight="true" outlineLevel="0" collapsed="false">
      <c r="A45" s="4" t="n">
        <v>10004</v>
      </c>
      <c r="B45" s="4" t="s">
        <v>103</v>
      </c>
      <c r="C45" s="5" t="s">
        <v>104</v>
      </c>
      <c r="D45" s="6" t="n">
        <v>10</v>
      </c>
      <c r="E45" s="6" t="n">
        <v>4700</v>
      </c>
      <c r="F45" s="7" t="n">
        <f aca="false">IFERROR(__xludf.dummyfunction("COUNT(FILTER(Ingredientes!A:A,Ingredientes!A:A=A45))"),5)</f>
        <v>5</v>
      </c>
      <c r="G45" s="7" t="n">
        <f aca="false">IFERROR(__xludf.dummyfunction("COUNT(FILTER(Ingredientes!A:A,Ingredientes!C:C=A45))"),0)</f>
        <v>0</v>
      </c>
      <c r="H45" s="7" t="n">
        <v>1</v>
      </c>
      <c r="I45" s="4" t="n">
        <v>1</v>
      </c>
      <c r="J45" s="4" t="s">
        <v>28</v>
      </c>
      <c r="K45" s="7" t="n">
        <v>1</v>
      </c>
      <c r="L45" s="7" t="n">
        <v>10</v>
      </c>
      <c r="M45" s="8" t="str">
        <f aca="false">IFERROR(__xludf.dummyfunction("JOIN("","", iferror(filter('Asignación'!C:C,'Asignación'!A:A=A45),{1,2,3,4,5,6,7,8,9,10,11,12,13,14}))"),"1,2,3,4,5,6,7,8,9,10,11,12,13,14")</f>
        <v>1,2,3,4,5,6,7,8,9,10,11,12,13,14</v>
      </c>
      <c r="N45" s="4" t="n">
        <f aca="false">IFERROR(__xludf.dummyfunction("countunique(iferror(filter('Asignación'!C:C,'Asignación'!A:A=A45),{1,2,3,4,5,6,7,8,9,10,11,12,13,14}))"),14)</f>
        <v>14</v>
      </c>
      <c r="O45" s="9" t="n">
        <f aca="false">IFERROR(__xludf.dummyfunction("iferror(match(O$1,SPLIT($M45,"",""),0)&gt;0,false)"),1)</f>
        <v>1</v>
      </c>
      <c r="P45" s="9" t="n">
        <f aca="false">IFERROR(__xludf.dummyfunction("iferror(match(O$1,SPLIT($M45,"",""),0)&gt;0,false)"),1)</f>
        <v>1</v>
      </c>
      <c r="Q45" s="9" t="n">
        <f aca="false">IFERROR(__xludf.dummyfunction("iferror(match(O$1,SPLIT($M45,"",""),0)&gt;0,false)"),1)</f>
        <v>1</v>
      </c>
      <c r="R45" s="9" t="n">
        <f aca="false">IFERROR(__xludf.dummyfunction("iferror(match(O$1,SPLIT($M45,"",""),0)&gt;0,false)"),1)</f>
        <v>1</v>
      </c>
      <c r="S45" s="9" t="n">
        <f aca="false">IFERROR(__xludf.dummyfunction("iferror(match(O$1,SPLIT($M45,"",""),0)&gt;0,false)"),1)</f>
        <v>1</v>
      </c>
      <c r="T45" s="9" t="n">
        <f aca="false">IFERROR(__xludf.dummyfunction("iferror(match(O$1,SPLIT($M45,"",""),0)&gt;0,false)"),1)</f>
        <v>1</v>
      </c>
      <c r="U45" s="9" t="n">
        <f aca="false">IFERROR(__xludf.dummyfunction("iferror(match(O$1,SPLIT($M45,"",""),0)&gt;0,false)"),1)</f>
        <v>1</v>
      </c>
      <c r="V45" s="9" t="n">
        <f aca="false">IFERROR(__xludf.dummyfunction("iferror(match(O$1,SPLIT($M45,"",""),0)&gt;0,false)"),1)</f>
        <v>1</v>
      </c>
      <c r="W45" s="9" t="n">
        <f aca="false">IFERROR(__xludf.dummyfunction("iferror(match(O$1,SPLIT($M45,"",""),0)&gt;0,false)"),1)</f>
        <v>1</v>
      </c>
      <c r="X45" s="9" t="n">
        <f aca="false">IFERROR(__xludf.dummyfunction("iferror(match(O$1,SPLIT($M45,"",""),0)&gt;0,false)"),1)</f>
        <v>1</v>
      </c>
      <c r="Y45" s="9" t="n">
        <f aca="false">IFERROR(__xludf.dummyfunction("iferror(match(O$1,SPLIT($M45,"",""),0)&gt;0,false)"),1)</f>
        <v>1</v>
      </c>
      <c r="Z45" s="9" t="n">
        <f aca="false">IFERROR(__xludf.dummyfunction("iferror(match(O$1,SPLIT($M45,"",""),0)&gt;0,false)"),1)</f>
        <v>1</v>
      </c>
      <c r="AA45" s="9" t="n">
        <f aca="false">IFERROR(__xludf.dummyfunction("iferror(match(O$1,SPLIT($M45,"",""),0)&gt;0,false)"),1)</f>
        <v>1</v>
      </c>
      <c r="AB45" s="9" t="n">
        <f aca="false">IFERROR(__xludf.dummyfunction("iferror(match(O$1,SPLIT($M45,"",""),0)&gt;0,false)"),1)</f>
        <v>1</v>
      </c>
      <c r="AC45" s="4" t="s">
        <v>98</v>
      </c>
    </row>
    <row r="46" customFormat="false" ht="15.75" hidden="false" customHeight="true" outlineLevel="0" collapsed="false">
      <c r="A46" s="4" t="n">
        <v>10005</v>
      </c>
      <c r="B46" s="4" t="s">
        <v>105</v>
      </c>
      <c r="C46" s="5" t="s">
        <v>106</v>
      </c>
      <c r="D46" s="6" t="n">
        <v>10</v>
      </c>
      <c r="E46" s="6" t="n">
        <v>4700</v>
      </c>
      <c r="F46" s="7" t="n">
        <f aca="false">IFERROR(__xludf.dummyfunction("COUNT(FILTER(Ingredientes!A:A,Ingredientes!A:A=A46))"),5)</f>
        <v>5</v>
      </c>
      <c r="G46" s="7" t="n">
        <f aca="false">IFERROR(__xludf.dummyfunction("COUNT(FILTER(Ingredientes!A:A,Ingredientes!C:C=A46))"),0)</f>
        <v>0</v>
      </c>
      <c r="H46" s="7" t="n">
        <v>1</v>
      </c>
      <c r="I46" s="4" t="n">
        <v>1</v>
      </c>
      <c r="J46" s="4" t="s">
        <v>28</v>
      </c>
      <c r="K46" s="7" t="n">
        <v>1</v>
      </c>
      <c r="L46" s="7" t="n">
        <v>20</v>
      </c>
      <c r="M46" s="8" t="str">
        <f aca="false">IFERROR(__xludf.dummyfunction("JOIN("","", iferror(filter('Asignación'!C:C,'Asignación'!A:A=A46),{1,2,3,4,5,6,7,8,9,10,11,12,13,14}))"),"1,2,3,4,5,6,7,8,9,10,11,12,13,14")</f>
        <v>1,2,3,4,5,6,7,8,9,10,11,12,13,14</v>
      </c>
      <c r="N46" s="4" t="n">
        <f aca="false">IFERROR(__xludf.dummyfunction("countunique(iferror(filter('Asignación'!C:C,'Asignación'!A:A=A46),{1,2,3,4,5,6,7,8,9,10,11,12,13,14}))"),14)</f>
        <v>14</v>
      </c>
      <c r="O46" s="9" t="n">
        <f aca="false">IFERROR(__xludf.dummyfunction("iferror(match(O$1,SPLIT($M46,"",""),0)&gt;0,false)"),1)</f>
        <v>1</v>
      </c>
      <c r="P46" s="9" t="n">
        <f aca="false">IFERROR(__xludf.dummyfunction("iferror(match(O$1,SPLIT($M46,"",""),0)&gt;0,false)"),1)</f>
        <v>1</v>
      </c>
      <c r="Q46" s="9" t="n">
        <f aca="false">IFERROR(__xludf.dummyfunction("iferror(match(O$1,SPLIT($M46,"",""),0)&gt;0,false)"),1)</f>
        <v>1</v>
      </c>
      <c r="R46" s="9" t="n">
        <f aca="false">IFERROR(__xludf.dummyfunction("iferror(match(O$1,SPLIT($M46,"",""),0)&gt;0,false)"),1)</f>
        <v>1</v>
      </c>
      <c r="S46" s="9" t="n">
        <f aca="false">IFERROR(__xludf.dummyfunction("iferror(match(O$1,SPLIT($M46,"",""),0)&gt;0,false)"),1)</f>
        <v>1</v>
      </c>
      <c r="T46" s="9" t="n">
        <f aca="false">IFERROR(__xludf.dummyfunction("iferror(match(O$1,SPLIT($M46,"",""),0)&gt;0,false)"),1)</f>
        <v>1</v>
      </c>
      <c r="U46" s="9" t="n">
        <f aca="false">IFERROR(__xludf.dummyfunction("iferror(match(O$1,SPLIT($M46,"",""),0)&gt;0,false)"),1)</f>
        <v>1</v>
      </c>
      <c r="V46" s="9" t="n">
        <f aca="false">IFERROR(__xludf.dummyfunction("iferror(match(O$1,SPLIT($M46,"",""),0)&gt;0,false)"),1)</f>
        <v>1</v>
      </c>
      <c r="W46" s="9" t="n">
        <f aca="false">IFERROR(__xludf.dummyfunction("iferror(match(O$1,SPLIT($M46,"",""),0)&gt;0,false)"),1)</f>
        <v>1</v>
      </c>
      <c r="X46" s="9" t="n">
        <f aca="false">IFERROR(__xludf.dummyfunction("iferror(match(O$1,SPLIT($M46,"",""),0)&gt;0,false)"),1)</f>
        <v>1</v>
      </c>
      <c r="Y46" s="9" t="n">
        <f aca="false">IFERROR(__xludf.dummyfunction("iferror(match(O$1,SPLIT($M46,"",""),0)&gt;0,false)"),1)</f>
        <v>1</v>
      </c>
      <c r="Z46" s="9" t="n">
        <f aca="false">IFERROR(__xludf.dummyfunction("iferror(match(O$1,SPLIT($M46,"",""),0)&gt;0,false)"),1)</f>
        <v>1</v>
      </c>
      <c r="AA46" s="9" t="n">
        <f aca="false">IFERROR(__xludf.dummyfunction("iferror(match(O$1,SPLIT($M46,"",""),0)&gt;0,false)"),1)</f>
        <v>1</v>
      </c>
      <c r="AB46" s="9" t="n">
        <f aca="false">IFERROR(__xludf.dummyfunction("iferror(match(O$1,SPLIT($M46,"",""),0)&gt;0,false)"),1)</f>
        <v>1</v>
      </c>
      <c r="AC46" s="4" t="s">
        <v>98</v>
      </c>
    </row>
    <row r="47" customFormat="false" ht="22" hidden="false" customHeight="false" outlineLevel="0" collapsed="false">
      <c r="A47" s="4" t="n">
        <v>10006</v>
      </c>
      <c r="B47" s="4" t="s">
        <v>107</v>
      </c>
      <c r="C47" s="5" t="s">
        <v>108</v>
      </c>
      <c r="D47" s="6" t="n">
        <v>10</v>
      </c>
      <c r="E47" s="6" t="n">
        <v>4900</v>
      </c>
      <c r="F47" s="7" t="n">
        <f aca="false">IFERROR(__xludf.dummyfunction("COUNT(FILTER(Ingredientes!A:A,Ingredientes!A:A=A47))"),5)</f>
        <v>5</v>
      </c>
      <c r="G47" s="7" t="n">
        <f aca="false">IFERROR(__xludf.dummyfunction("COUNT(FILTER(Ingredientes!A:A,Ingredientes!C:C=A47))"),0)</f>
        <v>0</v>
      </c>
      <c r="H47" s="7" t="n">
        <v>1</v>
      </c>
      <c r="I47" s="4" t="n">
        <v>1</v>
      </c>
      <c r="J47" s="4" t="s">
        <v>28</v>
      </c>
      <c r="K47" s="7" t="n">
        <v>1</v>
      </c>
      <c r="L47" s="7" t="n">
        <v>10</v>
      </c>
      <c r="M47" s="8" t="str">
        <f aca="false">IFERROR(__xludf.dummyfunction("JOIN("","", iferror(filter('Asignación'!C:C,'Asignación'!A:A=A47),{1,2,3,4,5,6,7,8,9,10,11,12,13,14}))"),"1,2,3,4,5,6,7,8,9,10,11,12,13,14")</f>
        <v>1,2,3,4,5,6,7,8,9,10,11,12,13,14</v>
      </c>
      <c r="N47" s="4" t="n">
        <f aca="false">IFERROR(__xludf.dummyfunction("countunique(iferror(filter('Asignación'!C:C,'Asignación'!A:A=A47),{1,2,3,4,5,6,7,8,9,10,11,12,13,14}))"),14)</f>
        <v>14</v>
      </c>
      <c r="O47" s="9" t="n">
        <f aca="false">IFERROR(__xludf.dummyfunction("iferror(match(O$1,SPLIT($M47,"",""),0)&gt;0,false)"),1)</f>
        <v>1</v>
      </c>
      <c r="P47" s="9" t="n">
        <f aca="false">IFERROR(__xludf.dummyfunction("iferror(match(O$1,SPLIT($M47,"",""),0)&gt;0,false)"),1)</f>
        <v>1</v>
      </c>
      <c r="Q47" s="9" t="n">
        <f aca="false">IFERROR(__xludf.dummyfunction("iferror(match(O$1,SPLIT($M47,"",""),0)&gt;0,false)"),1)</f>
        <v>1</v>
      </c>
      <c r="R47" s="9" t="n">
        <f aca="false">IFERROR(__xludf.dummyfunction("iferror(match(O$1,SPLIT($M47,"",""),0)&gt;0,false)"),1)</f>
        <v>1</v>
      </c>
      <c r="S47" s="9" t="n">
        <f aca="false">IFERROR(__xludf.dummyfunction("iferror(match(O$1,SPLIT($M47,"",""),0)&gt;0,false)"),1)</f>
        <v>1</v>
      </c>
      <c r="T47" s="9" t="n">
        <f aca="false">IFERROR(__xludf.dummyfunction("iferror(match(O$1,SPLIT($M47,"",""),0)&gt;0,false)"),1)</f>
        <v>1</v>
      </c>
      <c r="U47" s="9" t="n">
        <f aca="false">IFERROR(__xludf.dummyfunction("iferror(match(O$1,SPLIT($M47,"",""),0)&gt;0,false)"),1)</f>
        <v>1</v>
      </c>
      <c r="V47" s="9" t="n">
        <f aca="false">IFERROR(__xludf.dummyfunction("iferror(match(O$1,SPLIT($M47,"",""),0)&gt;0,false)"),1)</f>
        <v>1</v>
      </c>
      <c r="W47" s="9" t="n">
        <f aca="false">IFERROR(__xludf.dummyfunction("iferror(match(O$1,SPLIT($M47,"",""),0)&gt;0,false)"),1)</f>
        <v>1</v>
      </c>
      <c r="X47" s="9" t="n">
        <f aca="false">IFERROR(__xludf.dummyfunction("iferror(match(O$1,SPLIT($M47,"",""),0)&gt;0,false)"),1)</f>
        <v>1</v>
      </c>
      <c r="Y47" s="9" t="n">
        <f aca="false">IFERROR(__xludf.dummyfunction("iferror(match(O$1,SPLIT($M47,"",""),0)&gt;0,false)"),1)</f>
        <v>1</v>
      </c>
      <c r="Z47" s="9" t="n">
        <f aca="false">IFERROR(__xludf.dummyfunction("iferror(match(O$1,SPLIT($M47,"",""),0)&gt;0,false)"),1)</f>
        <v>1</v>
      </c>
      <c r="AA47" s="9" t="n">
        <f aca="false">IFERROR(__xludf.dummyfunction("iferror(match(O$1,SPLIT($M47,"",""),0)&gt;0,false)"),1)</f>
        <v>1</v>
      </c>
      <c r="AB47" s="9" t="n">
        <f aca="false">IFERROR(__xludf.dummyfunction("iferror(match(O$1,SPLIT($M47,"",""),0)&gt;0,false)"),1)</f>
        <v>1</v>
      </c>
      <c r="AC47" s="4" t="s">
        <v>98</v>
      </c>
    </row>
    <row r="48" customFormat="false" ht="22" hidden="false" customHeight="false" outlineLevel="0" collapsed="false">
      <c r="A48" s="4" t="n">
        <v>10007</v>
      </c>
      <c r="B48" s="4" t="s">
        <v>109</v>
      </c>
      <c r="C48" s="5" t="s">
        <v>110</v>
      </c>
      <c r="D48" s="6" t="n">
        <v>10</v>
      </c>
      <c r="E48" s="6" t="n">
        <v>4900</v>
      </c>
      <c r="F48" s="7" t="n">
        <f aca="false">IFERROR(__xludf.dummyfunction("COUNT(FILTER(Ingredientes!A:A,Ingredientes!A:A=A48))"),5)</f>
        <v>5</v>
      </c>
      <c r="G48" s="7" t="n">
        <f aca="false">IFERROR(__xludf.dummyfunction("COUNT(FILTER(Ingredientes!A:A,Ingredientes!C:C=A48))"),0)</f>
        <v>0</v>
      </c>
      <c r="H48" s="7" t="n">
        <v>1</v>
      </c>
      <c r="I48" s="4" t="n">
        <v>1</v>
      </c>
      <c r="J48" s="4" t="s">
        <v>28</v>
      </c>
      <c r="K48" s="7" t="n">
        <v>1</v>
      </c>
      <c r="L48" s="7" t="n">
        <v>20</v>
      </c>
      <c r="M48" s="8" t="str">
        <f aca="false">IFERROR(__xludf.dummyfunction("JOIN("","", iferror(filter('Asignación'!C:C,'Asignación'!A:A=A48),{1,2,3,4,5,6,7,8,9,10,11,12,13,14}))"),"1,2,3,4,5,6,7,8,9,10,11,12,13,14")</f>
        <v>1,2,3,4,5,6,7,8,9,10,11,12,13,14</v>
      </c>
      <c r="N48" s="4" t="n">
        <f aca="false">IFERROR(__xludf.dummyfunction("countunique(iferror(filter('Asignación'!C:C,'Asignación'!A:A=A48),{1,2,3,4,5,6,7,8,9,10,11,12,13,14}))"),14)</f>
        <v>14</v>
      </c>
      <c r="O48" s="9" t="n">
        <f aca="false">IFERROR(__xludf.dummyfunction("iferror(match(O$1,SPLIT($M48,"",""),0)&gt;0,false)"),1)</f>
        <v>1</v>
      </c>
      <c r="P48" s="9" t="n">
        <f aca="false">IFERROR(__xludf.dummyfunction("iferror(match(O$1,SPLIT($M48,"",""),0)&gt;0,false)"),1)</f>
        <v>1</v>
      </c>
      <c r="Q48" s="9" t="n">
        <f aca="false">IFERROR(__xludf.dummyfunction("iferror(match(O$1,SPLIT($M48,"",""),0)&gt;0,false)"),1)</f>
        <v>1</v>
      </c>
      <c r="R48" s="9" t="n">
        <f aca="false">IFERROR(__xludf.dummyfunction("iferror(match(O$1,SPLIT($M48,"",""),0)&gt;0,false)"),1)</f>
        <v>1</v>
      </c>
      <c r="S48" s="9" t="n">
        <f aca="false">IFERROR(__xludf.dummyfunction("iferror(match(O$1,SPLIT($M48,"",""),0)&gt;0,false)"),1)</f>
        <v>1</v>
      </c>
      <c r="T48" s="9" t="n">
        <f aca="false">IFERROR(__xludf.dummyfunction("iferror(match(O$1,SPLIT($M48,"",""),0)&gt;0,false)"),1)</f>
        <v>1</v>
      </c>
      <c r="U48" s="9" t="n">
        <f aca="false">IFERROR(__xludf.dummyfunction("iferror(match(O$1,SPLIT($M48,"",""),0)&gt;0,false)"),1)</f>
        <v>1</v>
      </c>
      <c r="V48" s="9" t="n">
        <f aca="false">IFERROR(__xludf.dummyfunction("iferror(match(O$1,SPLIT($M48,"",""),0)&gt;0,false)"),1)</f>
        <v>1</v>
      </c>
      <c r="W48" s="9" t="n">
        <f aca="false">IFERROR(__xludf.dummyfunction("iferror(match(O$1,SPLIT($M48,"",""),0)&gt;0,false)"),1)</f>
        <v>1</v>
      </c>
      <c r="X48" s="9" t="n">
        <f aca="false">IFERROR(__xludf.dummyfunction("iferror(match(O$1,SPLIT($M48,"",""),0)&gt;0,false)"),1)</f>
        <v>1</v>
      </c>
      <c r="Y48" s="9" t="n">
        <f aca="false">IFERROR(__xludf.dummyfunction("iferror(match(O$1,SPLIT($M48,"",""),0)&gt;0,false)"),1)</f>
        <v>1</v>
      </c>
      <c r="Z48" s="9" t="n">
        <f aca="false">IFERROR(__xludf.dummyfunction("iferror(match(O$1,SPLIT($M48,"",""),0)&gt;0,false)"),1)</f>
        <v>1</v>
      </c>
      <c r="AA48" s="9" t="n">
        <f aca="false">IFERROR(__xludf.dummyfunction("iferror(match(O$1,SPLIT($M48,"",""),0)&gt;0,false)"),1)</f>
        <v>1</v>
      </c>
      <c r="AB48" s="9" t="n">
        <f aca="false">IFERROR(__xludf.dummyfunction("iferror(match(O$1,SPLIT($M48,"",""),0)&gt;0,false)"),1)</f>
        <v>1</v>
      </c>
      <c r="AC48" s="4" t="s">
        <v>98</v>
      </c>
    </row>
    <row r="49" customFormat="false" ht="22" hidden="false" customHeight="false" outlineLevel="0" collapsed="false">
      <c r="A49" s="4" t="n">
        <v>10008</v>
      </c>
      <c r="B49" s="4" t="s">
        <v>111</v>
      </c>
      <c r="C49" s="5" t="s">
        <v>112</v>
      </c>
      <c r="D49" s="6" t="n">
        <v>10</v>
      </c>
      <c r="E49" s="6" t="n">
        <v>4900</v>
      </c>
      <c r="F49" s="7" t="n">
        <f aca="false">IFERROR(__xludf.dummyfunction("COUNT(FILTER(Ingredientes!A:A,Ingredientes!A:A=A49))"),5)</f>
        <v>5</v>
      </c>
      <c r="G49" s="7" t="n">
        <f aca="false">IFERROR(__xludf.dummyfunction("COUNT(FILTER(Ingredientes!A:A,Ingredientes!C:C=A49))"),0)</f>
        <v>0</v>
      </c>
      <c r="H49" s="7" t="n">
        <v>1</v>
      </c>
      <c r="I49" s="4" t="n">
        <v>1</v>
      </c>
      <c r="J49" s="4" t="s">
        <v>28</v>
      </c>
      <c r="K49" s="7" t="n">
        <v>1</v>
      </c>
      <c r="L49" s="7" t="n">
        <v>20</v>
      </c>
      <c r="M49" s="8" t="str">
        <f aca="false">IFERROR(__xludf.dummyfunction("JOIN("","", iferror(filter('Asignación'!C:C,'Asignación'!A:A=A49),{1,2,3,4,5,6,7,8,9,10,11,12,13,14}))"),"1,2,3,4,5,6,7,8,9,10,11,12,13,14")</f>
        <v>1,2,3,4,5,6,7,8,9,10,11,12,13,14</v>
      </c>
      <c r="N49" s="4" t="n">
        <f aca="false">IFERROR(__xludf.dummyfunction("countunique(iferror(filter('Asignación'!C:C,'Asignación'!A:A=A49),{1,2,3,4,5,6,7,8,9,10,11,12,13,14}))"),14)</f>
        <v>14</v>
      </c>
      <c r="O49" s="9" t="n">
        <f aca="false">IFERROR(__xludf.dummyfunction("iferror(match(O$1,SPLIT($M49,"",""),0)&gt;0,false)"),1)</f>
        <v>1</v>
      </c>
      <c r="P49" s="9" t="n">
        <f aca="false">IFERROR(__xludf.dummyfunction("iferror(match(O$1,SPLIT($M49,"",""),0)&gt;0,false)"),1)</f>
        <v>1</v>
      </c>
      <c r="Q49" s="9" t="n">
        <f aca="false">IFERROR(__xludf.dummyfunction("iferror(match(O$1,SPLIT($M49,"",""),0)&gt;0,false)"),1)</f>
        <v>1</v>
      </c>
      <c r="R49" s="9" t="n">
        <f aca="false">IFERROR(__xludf.dummyfunction("iferror(match(O$1,SPLIT($M49,"",""),0)&gt;0,false)"),1)</f>
        <v>1</v>
      </c>
      <c r="S49" s="9" t="n">
        <f aca="false">IFERROR(__xludf.dummyfunction("iferror(match(O$1,SPLIT($M49,"",""),0)&gt;0,false)"),1)</f>
        <v>1</v>
      </c>
      <c r="T49" s="9" t="n">
        <f aca="false">IFERROR(__xludf.dummyfunction("iferror(match(O$1,SPLIT($M49,"",""),0)&gt;0,false)"),1)</f>
        <v>1</v>
      </c>
      <c r="U49" s="9" t="n">
        <f aca="false">IFERROR(__xludf.dummyfunction("iferror(match(O$1,SPLIT($M49,"",""),0)&gt;0,false)"),1)</f>
        <v>1</v>
      </c>
      <c r="V49" s="9" t="n">
        <f aca="false">IFERROR(__xludf.dummyfunction("iferror(match(O$1,SPLIT($M49,"",""),0)&gt;0,false)"),1)</f>
        <v>1</v>
      </c>
      <c r="W49" s="9" t="n">
        <f aca="false">IFERROR(__xludf.dummyfunction("iferror(match(O$1,SPLIT($M49,"",""),0)&gt;0,false)"),1)</f>
        <v>1</v>
      </c>
      <c r="X49" s="9" t="n">
        <f aca="false">IFERROR(__xludf.dummyfunction("iferror(match(O$1,SPLIT($M49,"",""),0)&gt;0,false)"),1)</f>
        <v>1</v>
      </c>
      <c r="Y49" s="9" t="n">
        <f aca="false">IFERROR(__xludf.dummyfunction("iferror(match(O$1,SPLIT($M49,"",""),0)&gt;0,false)"),1)</f>
        <v>1</v>
      </c>
      <c r="Z49" s="9" t="n">
        <f aca="false">IFERROR(__xludf.dummyfunction("iferror(match(O$1,SPLIT($M49,"",""),0)&gt;0,false)"),1)</f>
        <v>1</v>
      </c>
      <c r="AA49" s="9" t="n">
        <f aca="false">IFERROR(__xludf.dummyfunction("iferror(match(O$1,SPLIT($M49,"",""),0)&gt;0,false)"),1)</f>
        <v>1</v>
      </c>
      <c r="AB49" s="9" t="n">
        <f aca="false">IFERROR(__xludf.dummyfunction("iferror(match(O$1,SPLIT($M49,"",""),0)&gt;0,false)"),1)</f>
        <v>1</v>
      </c>
      <c r="AC49" s="4" t="s">
        <v>98</v>
      </c>
    </row>
    <row r="50" customFormat="false" ht="22" hidden="false" customHeight="false" outlineLevel="0" collapsed="false">
      <c r="A50" s="4" t="n">
        <v>10009</v>
      </c>
      <c r="B50" s="4" t="s">
        <v>113</v>
      </c>
      <c r="C50" s="5" t="s">
        <v>114</v>
      </c>
      <c r="D50" s="6" t="n">
        <v>10</v>
      </c>
      <c r="E50" s="6" t="n">
        <v>4900</v>
      </c>
      <c r="F50" s="7" t="n">
        <f aca="false">IFERROR(__xludf.dummyfunction("COUNT(FILTER(Ingredientes!A:A,Ingredientes!A:A=A50))"),5)</f>
        <v>5</v>
      </c>
      <c r="G50" s="7" t="n">
        <f aca="false">IFERROR(__xludf.dummyfunction("COUNT(FILTER(Ingredientes!A:A,Ingredientes!C:C=A50))"),0)</f>
        <v>0</v>
      </c>
      <c r="H50" s="7" t="n">
        <v>1</v>
      </c>
      <c r="I50" s="4" t="n">
        <v>1</v>
      </c>
      <c r="J50" s="4" t="s">
        <v>28</v>
      </c>
      <c r="K50" s="7" t="n">
        <v>1</v>
      </c>
      <c r="L50" s="7" t="n">
        <v>30</v>
      </c>
      <c r="M50" s="8" t="str">
        <f aca="false">IFERROR(__xludf.dummyfunction("JOIN("","", iferror(filter('Asignación'!C:C,'Asignación'!A:A=A50),{1,2,3,4,5,6,7,8,9,10,11,12,13,14}))"),"1,2,3,4,5,6,7,8,9,10,11,12,13,14")</f>
        <v>1,2,3,4,5,6,7,8,9,10,11,12,13,14</v>
      </c>
      <c r="N50" s="4" t="n">
        <f aca="false">IFERROR(__xludf.dummyfunction("countunique(iferror(filter('Asignación'!C:C,'Asignación'!A:A=A50),{1,2,3,4,5,6,7,8,9,10,11,12,13,14}))"),14)</f>
        <v>14</v>
      </c>
      <c r="O50" s="9" t="n">
        <f aca="false">IFERROR(__xludf.dummyfunction("iferror(match(O$1,SPLIT($M50,"",""),0)&gt;0,false)"),1)</f>
        <v>1</v>
      </c>
      <c r="P50" s="9" t="n">
        <f aca="false">IFERROR(__xludf.dummyfunction("iferror(match(O$1,SPLIT($M50,"",""),0)&gt;0,false)"),1)</f>
        <v>1</v>
      </c>
      <c r="Q50" s="9" t="n">
        <f aca="false">IFERROR(__xludf.dummyfunction("iferror(match(O$1,SPLIT($M50,"",""),0)&gt;0,false)"),1)</f>
        <v>1</v>
      </c>
      <c r="R50" s="9" t="n">
        <f aca="false">IFERROR(__xludf.dummyfunction("iferror(match(O$1,SPLIT($M50,"",""),0)&gt;0,false)"),1)</f>
        <v>1</v>
      </c>
      <c r="S50" s="9" t="n">
        <f aca="false">IFERROR(__xludf.dummyfunction("iferror(match(O$1,SPLIT($M50,"",""),0)&gt;0,false)"),1)</f>
        <v>1</v>
      </c>
      <c r="T50" s="9" t="n">
        <f aca="false">IFERROR(__xludf.dummyfunction("iferror(match(O$1,SPLIT($M50,"",""),0)&gt;0,false)"),1)</f>
        <v>1</v>
      </c>
      <c r="U50" s="9" t="n">
        <f aca="false">IFERROR(__xludf.dummyfunction("iferror(match(O$1,SPLIT($M50,"",""),0)&gt;0,false)"),1)</f>
        <v>1</v>
      </c>
      <c r="V50" s="9" t="n">
        <f aca="false">IFERROR(__xludf.dummyfunction("iferror(match(O$1,SPLIT($M50,"",""),0)&gt;0,false)"),1)</f>
        <v>1</v>
      </c>
      <c r="W50" s="9" t="n">
        <f aca="false">IFERROR(__xludf.dummyfunction("iferror(match(O$1,SPLIT($M50,"",""),0)&gt;0,false)"),1)</f>
        <v>1</v>
      </c>
      <c r="X50" s="9" t="n">
        <f aca="false">IFERROR(__xludf.dummyfunction("iferror(match(O$1,SPLIT($M50,"",""),0)&gt;0,false)"),1)</f>
        <v>1</v>
      </c>
      <c r="Y50" s="9" t="n">
        <f aca="false">IFERROR(__xludf.dummyfunction("iferror(match(O$1,SPLIT($M50,"",""),0)&gt;0,false)"),1)</f>
        <v>1</v>
      </c>
      <c r="Z50" s="9" t="n">
        <f aca="false">IFERROR(__xludf.dummyfunction("iferror(match(O$1,SPLIT($M50,"",""),0)&gt;0,false)"),1)</f>
        <v>1</v>
      </c>
      <c r="AA50" s="9" t="n">
        <f aca="false">IFERROR(__xludf.dummyfunction("iferror(match(O$1,SPLIT($M50,"",""),0)&gt;0,false)"),1)</f>
        <v>1</v>
      </c>
      <c r="AB50" s="9" t="n">
        <f aca="false">IFERROR(__xludf.dummyfunction("iferror(match(O$1,SPLIT($M50,"",""),0)&gt;0,false)"),1)</f>
        <v>1</v>
      </c>
      <c r="AC50" s="4" t="s">
        <v>98</v>
      </c>
    </row>
    <row r="51" customFormat="false" ht="22" hidden="false" customHeight="false" outlineLevel="0" collapsed="false">
      <c r="A51" s="4" t="n">
        <v>10010</v>
      </c>
      <c r="B51" s="4" t="s">
        <v>115</v>
      </c>
      <c r="C51" s="5" t="s">
        <v>116</v>
      </c>
      <c r="D51" s="6" t="n">
        <v>10</v>
      </c>
      <c r="E51" s="6" t="n">
        <v>4900</v>
      </c>
      <c r="F51" s="7" t="n">
        <f aca="false">IFERROR(__xludf.dummyfunction("COUNT(FILTER(Ingredientes!A:A,Ingredientes!A:A=A51))"),5)</f>
        <v>5</v>
      </c>
      <c r="G51" s="7" t="n">
        <f aca="false">IFERROR(__xludf.dummyfunction("COUNT(FILTER(Ingredientes!A:A,Ingredientes!C:C=A51))"),0)</f>
        <v>0</v>
      </c>
      <c r="H51" s="7" t="n">
        <v>1</v>
      </c>
      <c r="I51" s="4" t="n">
        <v>1</v>
      </c>
      <c r="J51" s="4" t="s">
        <v>28</v>
      </c>
      <c r="K51" s="7" t="n">
        <v>1</v>
      </c>
      <c r="L51" s="7" t="n">
        <v>10</v>
      </c>
      <c r="M51" s="8" t="str">
        <f aca="false">IFERROR(__xludf.dummyfunction("JOIN("","", iferror(filter('Asignación'!C:C,'Asignación'!A:A=A51),{1,2,3,4,5,6,7,8,9,10,11,12,13,14}))"),"1,2,3,4,5,6,7,8,9,10,11,12,13,14")</f>
        <v>1,2,3,4,5,6,7,8,9,10,11,12,13,14</v>
      </c>
      <c r="N51" s="4" t="n">
        <f aca="false">IFERROR(__xludf.dummyfunction("countunique(iferror(filter('Asignación'!C:C,'Asignación'!A:A=A51),{1,2,3,4,5,6,7,8,9,10,11,12,13,14}))"),14)</f>
        <v>14</v>
      </c>
      <c r="O51" s="9" t="n">
        <f aca="false">IFERROR(__xludf.dummyfunction("iferror(match(O$1,SPLIT($M51,"",""),0)&gt;0,false)"),1)</f>
        <v>1</v>
      </c>
      <c r="P51" s="9" t="n">
        <f aca="false">IFERROR(__xludf.dummyfunction("iferror(match(O$1,SPLIT($M51,"",""),0)&gt;0,false)"),1)</f>
        <v>1</v>
      </c>
      <c r="Q51" s="9" t="n">
        <f aca="false">IFERROR(__xludf.dummyfunction("iferror(match(O$1,SPLIT($M51,"",""),0)&gt;0,false)"),1)</f>
        <v>1</v>
      </c>
      <c r="R51" s="9" t="n">
        <f aca="false">IFERROR(__xludf.dummyfunction("iferror(match(O$1,SPLIT($M51,"",""),0)&gt;0,false)"),1)</f>
        <v>1</v>
      </c>
      <c r="S51" s="9" t="n">
        <f aca="false">IFERROR(__xludf.dummyfunction("iferror(match(O$1,SPLIT($M51,"",""),0)&gt;0,false)"),1)</f>
        <v>1</v>
      </c>
      <c r="T51" s="9" t="n">
        <f aca="false">IFERROR(__xludf.dummyfunction("iferror(match(O$1,SPLIT($M51,"",""),0)&gt;0,false)"),1)</f>
        <v>1</v>
      </c>
      <c r="U51" s="9" t="n">
        <f aca="false">IFERROR(__xludf.dummyfunction("iferror(match(O$1,SPLIT($M51,"",""),0)&gt;0,false)"),1)</f>
        <v>1</v>
      </c>
      <c r="V51" s="9" t="n">
        <f aca="false">IFERROR(__xludf.dummyfunction("iferror(match(O$1,SPLIT($M51,"",""),0)&gt;0,false)"),1)</f>
        <v>1</v>
      </c>
      <c r="W51" s="9" t="n">
        <f aca="false">IFERROR(__xludf.dummyfunction("iferror(match(O$1,SPLIT($M51,"",""),0)&gt;0,false)"),1)</f>
        <v>1</v>
      </c>
      <c r="X51" s="9" t="n">
        <f aca="false">IFERROR(__xludf.dummyfunction("iferror(match(O$1,SPLIT($M51,"",""),0)&gt;0,false)"),1)</f>
        <v>1</v>
      </c>
      <c r="Y51" s="9" t="n">
        <f aca="false">IFERROR(__xludf.dummyfunction("iferror(match(O$1,SPLIT($M51,"",""),0)&gt;0,false)"),1)</f>
        <v>1</v>
      </c>
      <c r="Z51" s="9" t="n">
        <f aca="false">IFERROR(__xludf.dummyfunction("iferror(match(O$1,SPLIT($M51,"",""),0)&gt;0,false)"),1)</f>
        <v>1</v>
      </c>
      <c r="AA51" s="9" t="n">
        <f aca="false">IFERROR(__xludf.dummyfunction("iferror(match(O$1,SPLIT($M51,"",""),0)&gt;0,false)"),1)</f>
        <v>1</v>
      </c>
      <c r="AB51" s="9" t="n">
        <f aca="false">IFERROR(__xludf.dummyfunction("iferror(match(O$1,SPLIT($M51,"",""),0)&gt;0,false)"),1)</f>
        <v>1</v>
      </c>
      <c r="AC51" s="4" t="s">
        <v>98</v>
      </c>
    </row>
    <row r="52" customFormat="false" ht="22" hidden="false" customHeight="false" outlineLevel="0" collapsed="false">
      <c r="A52" s="4" t="n">
        <v>10011</v>
      </c>
      <c r="B52" s="4" t="s">
        <v>117</v>
      </c>
      <c r="C52" s="5" t="s">
        <v>118</v>
      </c>
      <c r="D52" s="6" t="n">
        <v>10</v>
      </c>
      <c r="E52" s="6" t="n">
        <v>5700</v>
      </c>
      <c r="F52" s="7" t="n">
        <f aca="false">IFERROR(__xludf.dummyfunction("COUNT(FILTER(Ingredientes!A:A,Ingredientes!A:A=A52))"),6)</f>
        <v>6</v>
      </c>
      <c r="G52" s="7" t="n">
        <f aca="false">IFERROR(__xludf.dummyfunction("COUNT(FILTER(Ingredientes!A:A,Ingredientes!C:C=A52))"),0)</f>
        <v>0</v>
      </c>
      <c r="H52" s="7" t="n">
        <v>1</v>
      </c>
      <c r="I52" s="4" t="n">
        <v>1</v>
      </c>
      <c r="J52" s="4" t="s">
        <v>28</v>
      </c>
      <c r="K52" s="7" t="n">
        <v>1</v>
      </c>
      <c r="L52" s="7" t="n">
        <v>20</v>
      </c>
      <c r="M52" s="8" t="str">
        <f aca="false">IFERROR(__xludf.dummyfunction("JOIN("","", iferror(filter('Asignación'!C:C,'Asignación'!A:A=A52),{1,2,3,4,5,6,7,8,9,10,11,12,13,14}))"),"1,2,3,4,5,6,7,8,9,10,11,12,13,14")</f>
        <v>1,2,3,4,5,6,7,8,9,10,11,12,13,14</v>
      </c>
      <c r="N52" s="4" t="n">
        <f aca="false">IFERROR(__xludf.dummyfunction("countunique(iferror(filter('Asignación'!C:C,'Asignación'!A:A=A52),{1,2,3,4,5,6,7,8,9,10,11,12,13,14}))"),14)</f>
        <v>14</v>
      </c>
      <c r="O52" s="9" t="n">
        <f aca="false">IFERROR(__xludf.dummyfunction("iferror(match(O$1,SPLIT($M52,"",""),0)&gt;0,false)"),1)</f>
        <v>1</v>
      </c>
      <c r="P52" s="9" t="n">
        <f aca="false">IFERROR(__xludf.dummyfunction("iferror(match(O$1,SPLIT($M52,"",""),0)&gt;0,false)"),1)</f>
        <v>1</v>
      </c>
      <c r="Q52" s="9" t="n">
        <f aca="false">IFERROR(__xludf.dummyfunction("iferror(match(O$1,SPLIT($M52,"",""),0)&gt;0,false)"),1)</f>
        <v>1</v>
      </c>
      <c r="R52" s="9" t="n">
        <f aca="false">IFERROR(__xludf.dummyfunction("iferror(match(O$1,SPLIT($M52,"",""),0)&gt;0,false)"),1)</f>
        <v>1</v>
      </c>
      <c r="S52" s="9" t="n">
        <f aca="false">IFERROR(__xludf.dummyfunction("iferror(match(O$1,SPLIT($M52,"",""),0)&gt;0,false)"),1)</f>
        <v>1</v>
      </c>
      <c r="T52" s="9" t="n">
        <f aca="false">IFERROR(__xludf.dummyfunction("iferror(match(O$1,SPLIT($M52,"",""),0)&gt;0,false)"),1)</f>
        <v>1</v>
      </c>
      <c r="U52" s="9" t="n">
        <f aca="false">IFERROR(__xludf.dummyfunction("iferror(match(O$1,SPLIT($M52,"",""),0)&gt;0,false)"),1)</f>
        <v>1</v>
      </c>
      <c r="V52" s="9" t="n">
        <f aca="false">IFERROR(__xludf.dummyfunction("iferror(match(O$1,SPLIT($M52,"",""),0)&gt;0,false)"),1)</f>
        <v>1</v>
      </c>
      <c r="W52" s="9" t="n">
        <f aca="false">IFERROR(__xludf.dummyfunction("iferror(match(O$1,SPLIT($M52,"",""),0)&gt;0,false)"),1)</f>
        <v>1</v>
      </c>
      <c r="X52" s="9" t="n">
        <f aca="false">IFERROR(__xludf.dummyfunction("iferror(match(O$1,SPLIT($M52,"",""),0)&gt;0,false)"),1)</f>
        <v>1</v>
      </c>
      <c r="Y52" s="9" t="n">
        <f aca="false">IFERROR(__xludf.dummyfunction("iferror(match(O$1,SPLIT($M52,"",""),0)&gt;0,false)"),1)</f>
        <v>1</v>
      </c>
      <c r="Z52" s="9" t="n">
        <f aca="false">IFERROR(__xludf.dummyfunction("iferror(match(O$1,SPLIT($M52,"",""),0)&gt;0,false)"),1)</f>
        <v>1</v>
      </c>
      <c r="AA52" s="9" t="n">
        <f aca="false">IFERROR(__xludf.dummyfunction("iferror(match(O$1,SPLIT($M52,"",""),0)&gt;0,false)"),1)</f>
        <v>1</v>
      </c>
      <c r="AB52" s="9" t="n">
        <f aca="false">IFERROR(__xludf.dummyfunction("iferror(match(O$1,SPLIT($M52,"",""),0)&gt;0,false)"),1)</f>
        <v>1</v>
      </c>
      <c r="AC52" s="4" t="s">
        <v>98</v>
      </c>
    </row>
    <row r="53" customFormat="false" ht="22" hidden="false" customHeight="false" outlineLevel="0" collapsed="false">
      <c r="A53" s="4" t="n">
        <v>10012</v>
      </c>
      <c r="B53" s="4" t="s">
        <v>119</v>
      </c>
      <c r="C53" s="5" t="s">
        <v>120</v>
      </c>
      <c r="D53" s="6" t="n">
        <v>10</v>
      </c>
      <c r="E53" s="6" t="n">
        <v>5700</v>
      </c>
      <c r="F53" s="7" t="n">
        <f aca="false">IFERROR(__xludf.dummyfunction("COUNT(FILTER(Ingredientes!A:A,Ingredientes!A:A=A53))"),6)</f>
        <v>6</v>
      </c>
      <c r="G53" s="7" t="n">
        <f aca="false">IFERROR(__xludf.dummyfunction("COUNT(FILTER(Ingredientes!A:A,Ingredientes!C:C=A53))"),0)</f>
        <v>0</v>
      </c>
      <c r="H53" s="7" t="n">
        <v>1</v>
      </c>
      <c r="I53" s="4" t="n">
        <v>1</v>
      </c>
      <c r="J53" s="4" t="s">
        <v>28</v>
      </c>
      <c r="K53" s="7" t="n">
        <v>1</v>
      </c>
      <c r="L53" s="7" t="n">
        <v>20</v>
      </c>
      <c r="M53" s="8" t="str">
        <f aca="false">IFERROR(__xludf.dummyfunction("JOIN("","", iferror(filter('Asignación'!C:C,'Asignación'!A:A=A53),{1,2,3,4,5,6,7,8,9,10,11,12,13,14}))"),"1,2,3,4,5,6,7,8,9,10,11,12,13,14")</f>
        <v>1,2,3,4,5,6,7,8,9,10,11,12,13,14</v>
      </c>
      <c r="N53" s="4" t="n">
        <f aca="false">IFERROR(__xludf.dummyfunction("countunique(iferror(filter('Asignación'!C:C,'Asignación'!A:A=A53),{1,2,3,4,5,6,7,8,9,10,11,12,13,14}))"),14)</f>
        <v>14</v>
      </c>
      <c r="O53" s="9" t="n">
        <f aca="false">IFERROR(__xludf.dummyfunction("iferror(match(O$1,SPLIT($M53,"",""),0)&gt;0,false)"),1)</f>
        <v>1</v>
      </c>
      <c r="P53" s="9" t="n">
        <f aca="false">IFERROR(__xludf.dummyfunction("iferror(match(O$1,SPLIT($M53,"",""),0)&gt;0,false)"),1)</f>
        <v>1</v>
      </c>
      <c r="Q53" s="9" t="n">
        <f aca="false">IFERROR(__xludf.dummyfunction("iferror(match(O$1,SPLIT($M53,"",""),0)&gt;0,false)"),1)</f>
        <v>1</v>
      </c>
      <c r="R53" s="9" t="n">
        <f aca="false">IFERROR(__xludf.dummyfunction("iferror(match(O$1,SPLIT($M53,"",""),0)&gt;0,false)"),1)</f>
        <v>1</v>
      </c>
      <c r="S53" s="9" t="n">
        <f aca="false">IFERROR(__xludf.dummyfunction("iferror(match(O$1,SPLIT($M53,"",""),0)&gt;0,false)"),1)</f>
        <v>1</v>
      </c>
      <c r="T53" s="9" t="n">
        <f aca="false">IFERROR(__xludf.dummyfunction("iferror(match(O$1,SPLIT($M53,"",""),0)&gt;0,false)"),1)</f>
        <v>1</v>
      </c>
      <c r="U53" s="9" t="n">
        <f aca="false">IFERROR(__xludf.dummyfunction("iferror(match(O$1,SPLIT($M53,"",""),0)&gt;0,false)"),1)</f>
        <v>1</v>
      </c>
      <c r="V53" s="9" t="n">
        <f aca="false">IFERROR(__xludf.dummyfunction("iferror(match(O$1,SPLIT($M53,"",""),0)&gt;0,false)"),1)</f>
        <v>1</v>
      </c>
      <c r="W53" s="9" t="n">
        <f aca="false">IFERROR(__xludf.dummyfunction("iferror(match(O$1,SPLIT($M53,"",""),0)&gt;0,false)"),1)</f>
        <v>1</v>
      </c>
      <c r="X53" s="9" t="n">
        <f aca="false">IFERROR(__xludf.dummyfunction("iferror(match(O$1,SPLIT($M53,"",""),0)&gt;0,false)"),1)</f>
        <v>1</v>
      </c>
      <c r="Y53" s="9" t="n">
        <f aca="false">IFERROR(__xludf.dummyfunction("iferror(match(O$1,SPLIT($M53,"",""),0)&gt;0,false)"),1)</f>
        <v>1</v>
      </c>
      <c r="Z53" s="9" t="n">
        <f aca="false">IFERROR(__xludf.dummyfunction("iferror(match(O$1,SPLIT($M53,"",""),0)&gt;0,false)"),1)</f>
        <v>1</v>
      </c>
      <c r="AA53" s="9" t="n">
        <f aca="false">IFERROR(__xludf.dummyfunction("iferror(match(O$1,SPLIT($M53,"",""),0)&gt;0,false)"),1)</f>
        <v>1</v>
      </c>
      <c r="AB53" s="9" t="n">
        <f aca="false">IFERROR(__xludf.dummyfunction("iferror(match(O$1,SPLIT($M53,"",""),0)&gt;0,false)"),1)</f>
        <v>1</v>
      </c>
      <c r="AC53" s="4" t="s">
        <v>98</v>
      </c>
    </row>
    <row r="54" customFormat="false" ht="22" hidden="false" customHeight="false" outlineLevel="0" collapsed="false">
      <c r="A54" s="4" t="n">
        <v>10013</v>
      </c>
      <c r="B54" s="4" t="s">
        <v>121</v>
      </c>
      <c r="C54" s="5" t="s">
        <v>122</v>
      </c>
      <c r="D54" s="6" t="n">
        <v>10</v>
      </c>
      <c r="E54" s="6" t="n">
        <v>5700</v>
      </c>
      <c r="F54" s="7" t="n">
        <f aca="false">IFERROR(__xludf.dummyfunction("COUNT(FILTER(Ingredientes!A:A,Ingredientes!A:A=A54))"),5)</f>
        <v>5</v>
      </c>
      <c r="G54" s="7" t="n">
        <f aca="false">IFERROR(__xludf.dummyfunction("COUNT(FILTER(Ingredientes!A:A,Ingredientes!C:C=A54))"),0)</f>
        <v>0</v>
      </c>
      <c r="H54" s="7" t="n">
        <v>1</v>
      </c>
      <c r="I54" s="4" t="n">
        <v>1</v>
      </c>
      <c r="J54" s="4" t="s">
        <v>28</v>
      </c>
      <c r="K54" s="7" t="n">
        <v>1</v>
      </c>
      <c r="L54" s="7" t="n">
        <v>10</v>
      </c>
      <c r="M54" s="8" t="str">
        <f aca="false">IFERROR(__xludf.dummyfunction("JOIN("","", iferror(filter('Asignación'!C:C,'Asignación'!A:A=A54),{1,2,3,4,5,6,7,8,9,10,11,12,13,14}))"),"1,2,3,4,5,6,7,8,9,10,11,12,13,14")</f>
        <v>1,2,3,4,5,6,7,8,9,10,11,12,13,14</v>
      </c>
      <c r="N54" s="4" t="n">
        <f aca="false">IFERROR(__xludf.dummyfunction("countunique(iferror(filter('Asignación'!C:C,'Asignación'!A:A=A54),{1,2,3,4,5,6,7,8,9,10,11,12,13,14}))"),14)</f>
        <v>14</v>
      </c>
      <c r="O54" s="9" t="n">
        <f aca="false">IFERROR(__xludf.dummyfunction("iferror(match(O$1,SPLIT($M54,"",""),0)&gt;0,false)"),1)</f>
        <v>1</v>
      </c>
      <c r="P54" s="9" t="n">
        <f aca="false">IFERROR(__xludf.dummyfunction("iferror(match(O$1,SPLIT($M54,"",""),0)&gt;0,false)"),1)</f>
        <v>1</v>
      </c>
      <c r="Q54" s="9" t="n">
        <f aca="false">IFERROR(__xludf.dummyfunction("iferror(match(O$1,SPLIT($M54,"",""),0)&gt;0,false)"),1)</f>
        <v>1</v>
      </c>
      <c r="R54" s="9" t="n">
        <f aca="false">IFERROR(__xludf.dummyfunction("iferror(match(O$1,SPLIT($M54,"",""),0)&gt;0,false)"),1)</f>
        <v>1</v>
      </c>
      <c r="S54" s="9" t="n">
        <f aca="false">IFERROR(__xludf.dummyfunction("iferror(match(O$1,SPLIT($M54,"",""),0)&gt;0,false)"),1)</f>
        <v>1</v>
      </c>
      <c r="T54" s="9" t="n">
        <f aca="false">IFERROR(__xludf.dummyfunction("iferror(match(O$1,SPLIT($M54,"",""),0)&gt;0,false)"),1)</f>
        <v>1</v>
      </c>
      <c r="U54" s="9" t="n">
        <f aca="false">IFERROR(__xludf.dummyfunction("iferror(match(O$1,SPLIT($M54,"",""),0)&gt;0,false)"),1)</f>
        <v>1</v>
      </c>
      <c r="V54" s="9" t="n">
        <f aca="false">IFERROR(__xludf.dummyfunction("iferror(match(O$1,SPLIT($M54,"",""),0)&gt;0,false)"),1)</f>
        <v>1</v>
      </c>
      <c r="W54" s="9" t="n">
        <f aca="false">IFERROR(__xludf.dummyfunction("iferror(match(O$1,SPLIT($M54,"",""),0)&gt;0,false)"),1)</f>
        <v>1</v>
      </c>
      <c r="X54" s="9" t="n">
        <f aca="false">IFERROR(__xludf.dummyfunction("iferror(match(O$1,SPLIT($M54,"",""),0)&gt;0,false)"),1)</f>
        <v>1</v>
      </c>
      <c r="Y54" s="9" t="n">
        <f aca="false">IFERROR(__xludf.dummyfunction("iferror(match(O$1,SPLIT($M54,"",""),0)&gt;0,false)"),1)</f>
        <v>1</v>
      </c>
      <c r="Z54" s="9" t="n">
        <f aca="false">IFERROR(__xludf.dummyfunction("iferror(match(O$1,SPLIT($M54,"",""),0)&gt;0,false)"),1)</f>
        <v>1</v>
      </c>
      <c r="AA54" s="9" t="n">
        <f aca="false">IFERROR(__xludf.dummyfunction("iferror(match(O$1,SPLIT($M54,"",""),0)&gt;0,false)"),1)</f>
        <v>1</v>
      </c>
      <c r="AB54" s="9" t="n">
        <f aca="false">IFERROR(__xludf.dummyfunction("iferror(match(O$1,SPLIT($M54,"",""),0)&gt;0,false)"),1)</f>
        <v>1</v>
      </c>
      <c r="AC54" s="4" t="s">
        <v>98</v>
      </c>
    </row>
    <row r="55" customFormat="false" ht="22" hidden="false" customHeight="false" outlineLevel="0" collapsed="false">
      <c r="A55" s="4" t="n">
        <v>10014</v>
      </c>
      <c r="B55" s="4" t="s">
        <v>123</v>
      </c>
      <c r="C55" s="5" t="s">
        <v>124</v>
      </c>
      <c r="D55" s="6" t="n">
        <v>10</v>
      </c>
      <c r="E55" s="6" t="n">
        <v>4900</v>
      </c>
      <c r="F55" s="7" t="n">
        <f aca="false">IFERROR(__xludf.dummyfunction("COUNT(FILTER(Ingredientes!A:A,Ingredientes!A:A=A55))"),5)</f>
        <v>5</v>
      </c>
      <c r="G55" s="7" t="n">
        <f aca="false">IFERROR(__xludf.dummyfunction("COUNT(FILTER(Ingredientes!A:A,Ingredientes!C:C=A55))"),0)</f>
        <v>0</v>
      </c>
      <c r="H55" s="7" t="n">
        <v>1</v>
      </c>
      <c r="I55" s="4" t="n">
        <v>1</v>
      </c>
      <c r="J55" s="4" t="s">
        <v>28</v>
      </c>
      <c r="K55" s="7" t="n">
        <v>1</v>
      </c>
      <c r="L55" s="7" t="n">
        <v>10</v>
      </c>
      <c r="M55" s="8" t="str">
        <f aca="false">IFERROR(__xludf.dummyfunction("JOIN("","", iferror(filter('Asignación'!C:C,'Asignación'!A:A=A55),{1,2,3,4,5,6,7,8,9,10,11,12,13,14}))"),"1,2,3,4,5,6,7,8,9,10,11,12,13,14")</f>
        <v>1,2,3,4,5,6,7,8,9,10,11,12,13,14</v>
      </c>
      <c r="N55" s="4" t="n">
        <f aca="false">IFERROR(__xludf.dummyfunction("countunique(iferror(filter('Asignación'!C:C,'Asignación'!A:A=A55),{1,2,3,4,5,6,7,8,9,10,11,12,13,14}))"),14)</f>
        <v>14</v>
      </c>
      <c r="O55" s="9" t="n">
        <f aca="false">IFERROR(__xludf.dummyfunction("iferror(match(O$1,SPLIT($M55,"",""),0)&gt;0,false)"),1)</f>
        <v>1</v>
      </c>
      <c r="P55" s="9" t="n">
        <f aca="false">IFERROR(__xludf.dummyfunction("iferror(match(O$1,SPLIT($M55,"",""),0)&gt;0,false)"),1)</f>
        <v>1</v>
      </c>
      <c r="Q55" s="9" t="n">
        <f aca="false">IFERROR(__xludf.dummyfunction("iferror(match(O$1,SPLIT($M55,"",""),0)&gt;0,false)"),1)</f>
        <v>1</v>
      </c>
      <c r="R55" s="9" t="n">
        <f aca="false">IFERROR(__xludf.dummyfunction("iferror(match(O$1,SPLIT($M55,"",""),0)&gt;0,false)"),1)</f>
        <v>1</v>
      </c>
      <c r="S55" s="9" t="n">
        <f aca="false">IFERROR(__xludf.dummyfunction("iferror(match(O$1,SPLIT($M55,"",""),0)&gt;0,false)"),1)</f>
        <v>1</v>
      </c>
      <c r="T55" s="9" t="n">
        <f aca="false">IFERROR(__xludf.dummyfunction("iferror(match(O$1,SPLIT($M55,"",""),0)&gt;0,false)"),1)</f>
        <v>1</v>
      </c>
      <c r="U55" s="9" t="n">
        <f aca="false">IFERROR(__xludf.dummyfunction("iferror(match(O$1,SPLIT($M55,"",""),0)&gt;0,false)"),1)</f>
        <v>1</v>
      </c>
      <c r="V55" s="9" t="n">
        <f aca="false">IFERROR(__xludf.dummyfunction("iferror(match(O$1,SPLIT($M55,"",""),0)&gt;0,false)"),1)</f>
        <v>1</v>
      </c>
      <c r="W55" s="9" t="n">
        <f aca="false">IFERROR(__xludf.dummyfunction("iferror(match(O$1,SPLIT($M55,"",""),0)&gt;0,false)"),1)</f>
        <v>1</v>
      </c>
      <c r="X55" s="9" t="n">
        <f aca="false">IFERROR(__xludf.dummyfunction("iferror(match(O$1,SPLIT($M55,"",""),0)&gt;0,false)"),1)</f>
        <v>1</v>
      </c>
      <c r="Y55" s="9" t="n">
        <f aca="false">IFERROR(__xludf.dummyfunction("iferror(match(O$1,SPLIT($M55,"",""),0)&gt;0,false)"),1)</f>
        <v>1</v>
      </c>
      <c r="Z55" s="9" t="n">
        <f aca="false">IFERROR(__xludf.dummyfunction("iferror(match(O$1,SPLIT($M55,"",""),0)&gt;0,false)"),1)</f>
        <v>1</v>
      </c>
      <c r="AA55" s="9" t="n">
        <f aca="false">IFERROR(__xludf.dummyfunction("iferror(match(O$1,SPLIT($M55,"",""),0)&gt;0,false)"),1)</f>
        <v>1</v>
      </c>
      <c r="AB55" s="9" t="n">
        <f aca="false">IFERROR(__xludf.dummyfunction("iferror(match(O$1,SPLIT($M55,"",""),0)&gt;0,false)"),1)</f>
        <v>1</v>
      </c>
      <c r="AC55" s="4" t="s">
        <v>98</v>
      </c>
    </row>
    <row r="56" customFormat="false" ht="22" hidden="false" customHeight="false" outlineLevel="0" collapsed="false">
      <c r="A56" s="4" t="n">
        <v>10015</v>
      </c>
      <c r="B56" s="4" t="s">
        <v>125</v>
      </c>
      <c r="C56" s="5" t="s">
        <v>126</v>
      </c>
      <c r="D56" s="6" t="n">
        <v>10</v>
      </c>
      <c r="E56" s="6" t="n">
        <v>5700</v>
      </c>
      <c r="F56" s="7" t="n">
        <f aca="false">IFERROR(__xludf.dummyfunction("COUNT(FILTER(Ingredientes!A:A,Ingredientes!A:A=A56))"),6)</f>
        <v>6</v>
      </c>
      <c r="G56" s="7" t="n">
        <f aca="false">IFERROR(__xludf.dummyfunction("COUNT(FILTER(Ingredientes!A:A,Ingredientes!C:C=A56))"),0)</f>
        <v>0</v>
      </c>
      <c r="H56" s="7" t="n">
        <v>1</v>
      </c>
      <c r="I56" s="4" t="n">
        <v>1</v>
      </c>
      <c r="J56" s="4" t="s">
        <v>28</v>
      </c>
      <c r="K56" s="7" t="n">
        <v>1</v>
      </c>
      <c r="L56" s="7" t="n">
        <v>20</v>
      </c>
      <c r="M56" s="8" t="str">
        <f aca="false">IFERROR(__xludf.dummyfunction("JOIN("","", iferror(filter('Asignación'!C:C,'Asignación'!A:A=A56),{1,2,3,4,5,6,7,8,9,10,11,12,13,14}))"),"1,2,3,4,5,6,7,8,9,10,11,12,13,14")</f>
        <v>1,2,3,4,5,6,7,8,9,10,11,12,13,14</v>
      </c>
      <c r="N56" s="4" t="n">
        <f aca="false">IFERROR(__xludf.dummyfunction("countunique(iferror(filter('Asignación'!C:C,'Asignación'!A:A=A56),{1,2,3,4,5,6,7,8,9,10,11,12,13,14}))"),14)</f>
        <v>14</v>
      </c>
      <c r="O56" s="9" t="n">
        <f aca="false">IFERROR(__xludf.dummyfunction("iferror(match(O$1,SPLIT($M56,"",""),0)&gt;0,false)"),1)</f>
        <v>1</v>
      </c>
      <c r="P56" s="9" t="n">
        <f aca="false">IFERROR(__xludf.dummyfunction("iferror(match(O$1,SPLIT($M56,"",""),0)&gt;0,false)"),1)</f>
        <v>1</v>
      </c>
      <c r="Q56" s="9" t="n">
        <f aca="false">IFERROR(__xludf.dummyfunction("iferror(match(O$1,SPLIT($M56,"",""),0)&gt;0,false)"),1)</f>
        <v>1</v>
      </c>
      <c r="R56" s="9" t="n">
        <f aca="false">IFERROR(__xludf.dummyfunction("iferror(match(O$1,SPLIT($M56,"",""),0)&gt;0,false)"),1)</f>
        <v>1</v>
      </c>
      <c r="S56" s="9" t="n">
        <f aca="false">IFERROR(__xludf.dummyfunction("iferror(match(O$1,SPLIT($M56,"",""),0)&gt;0,false)"),1)</f>
        <v>1</v>
      </c>
      <c r="T56" s="9" t="n">
        <f aca="false">IFERROR(__xludf.dummyfunction("iferror(match(O$1,SPLIT($M56,"",""),0)&gt;0,false)"),1)</f>
        <v>1</v>
      </c>
      <c r="U56" s="9" t="n">
        <f aca="false">IFERROR(__xludf.dummyfunction("iferror(match(O$1,SPLIT($M56,"",""),0)&gt;0,false)"),1)</f>
        <v>1</v>
      </c>
      <c r="V56" s="9" t="n">
        <f aca="false">IFERROR(__xludf.dummyfunction("iferror(match(O$1,SPLIT($M56,"",""),0)&gt;0,false)"),1)</f>
        <v>1</v>
      </c>
      <c r="W56" s="9" t="n">
        <f aca="false">IFERROR(__xludf.dummyfunction("iferror(match(O$1,SPLIT($M56,"",""),0)&gt;0,false)"),1)</f>
        <v>1</v>
      </c>
      <c r="X56" s="9" t="n">
        <f aca="false">IFERROR(__xludf.dummyfunction("iferror(match(O$1,SPLIT($M56,"",""),0)&gt;0,false)"),1)</f>
        <v>1</v>
      </c>
      <c r="Y56" s="9" t="n">
        <f aca="false">IFERROR(__xludf.dummyfunction("iferror(match(O$1,SPLIT($M56,"",""),0)&gt;0,false)"),1)</f>
        <v>1</v>
      </c>
      <c r="Z56" s="9" t="n">
        <f aca="false">IFERROR(__xludf.dummyfunction("iferror(match(O$1,SPLIT($M56,"",""),0)&gt;0,false)"),1)</f>
        <v>1</v>
      </c>
      <c r="AA56" s="9" t="n">
        <f aca="false">IFERROR(__xludf.dummyfunction("iferror(match(O$1,SPLIT($M56,"",""),0)&gt;0,false)"),1)</f>
        <v>1</v>
      </c>
      <c r="AB56" s="9" t="n">
        <f aca="false">IFERROR(__xludf.dummyfunction("iferror(match(O$1,SPLIT($M56,"",""),0)&gt;0,false)"),1)</f>
        <v>1</v>
      </c>
      <c r="AC56" s="4" t="s">
        <v>98</v>
      </c>
    </row>
    <row r="57" customFormat="false" ht="22" hidden="false" customHeight="false" outlineLevel="0" collapsed="false">
      <c r="A57" s="4" t="n">
        <v>10016</v>
      </c>
      <c r="B57" s="4" t="s">
        <v>127</v>
      </c>
      <c r="C57" s="5" t="s">
        <v>128</v>
      </c>
      <c r="D57" s="6" t="n">
        <v>10</v>
      </c>
      <c r="E57" s="6" t="n">
        <v>5700</v>
      </c>
      <c r="F57" s="7" t="n">
        <f aca="false">IFERROR(__xludf.dummyfunction("COUNT(FILTER(Ingredientes!A:A,Ingredientes!A:A=A57))"),6)</f>
        <v>6</v>
      </c>
      <c r="G57" s="7" t="n">
        <f aca="false">IFERROR(__xludf.dummyfunction("COUNT(FILTER(Ingredientes!A:A,Ingredientes!C:C=A57))"),0)</f>
        <v>0</v>
      </c>
      <c r="H57" s="7" t="n">
        <v>1</v>
      </c>
      <c r="I57" s="4" t="n">
        <v>1</v>
      </c>
      <c r="J57" s="4" t="s">
        <v>28</v>
      </c>
      <c r="K57" s="7" t="n">
        <v>1</v>
      </c>
      <c r="L57" s="7" t="n">
        <v>20</v>
      </c>
      <c r="M57" s="8" t="str">
        <f aca="false">IFERROR(__xludf.dummyfunction("JOIN("","", iferror(filter('Asignación'!C:C,'Asignación'!A:A=A57),{1,2,3,4,5,6,7,8,9,10,11,12,13,14}))"),"1,2,3,4,5,6,7,8,9,10,11,12,13,14")</f>
        <v>1,2,3,4,5,6,7,8,9,10,11,12,13,14</v>
      </c>
      <c r="N57" s="4" t="n">
        <f aca="false">IFERROR(__xludf.dummyfunction("countunique(iferror(filter('Asignación'!C:C,'Asignación'!A:A=A57),{1,2,3,4,5,6,7,8,9,10,11,12,13,14}))"),14)</f>
        <v>14</v>
      </c>
      <c r="O57" s="9" t="n">
        <f aca="false">IFERROR(__xludf.dummyfunction("iferror(match(O$1,SPLIT($M57,"",""),0)&gt;0,false)"),1)</f>
        <v>1</v>
      </c>
      <c r="P57" s="9" t="n">
        <f aca="false">IFERROR(__xludf.dummyfunction("iferror(match(O$1,SPLIT($M57,"",""),0)&gt;0,false)"),1)</f>
        <v>1</v>
      </c>
      <c r="Q57" s="9" t="n">
        <f aca="false">IFERROR(__xludf.dummyfunction("iferror(match(O$1,SPLIT($M57,"",""),0)&gt;0,false)"),1)</f>
        <v>1</v>
      </c>
      <c r="R57" s="9" t="n">
        <f aca="false">IFERROR(__xludf.dummyfunction("iferror(match(O$1,SPLIT($M57,"",""),0)&gt;0,false)"),1)</f>
        <v>1</v>
      </c>
      <c r="S57" s="9" t="n">
        <f aca="false">IFERROR(__xludf.dummyfunction("iferror(match(O$1,SPLIT($M57,"",""),0)&gt;0,false)"),1)</f>
        <v>1</v>
      </c>
      <c r="T57" s="9" t="n">
        <f aca="false">IFERROR(__xludf.dummyfunction("iferror(match(O$1,SPLIT($M57,"",""),0)&gt;0,false)"),1)</f>
        <v>1</v>
      </c>
      <c r="U57" s="9" t="n">
        <f aca="false">IFERROR(__xludf.dummyfunction("iferror(match(O$1,SPLIT($M57,"",""),0)&gt;0,false)"),1)</f>
        <v>1</v>
      </c>
      <c r="V57" s="9" t="n">
        <f aca="false">IFERROR(__xludf.dummyfunction("iferror(match(O$1,SPLIT($M57,"",""),0)&gt;0,false)"),1)</f>
        <v>1</v>
      </c>
      <c r="W57" s="9" t="n">
        <f aca="false">IFERROR(__xludf.dummyfunction("iferror(match(O$1,SPLIT($M57,"",""),0)&gt;0,false)"),1)</f>
        <v>1</v>
      </c>
      <c r="X57" s="9" t="n">
        <f aca="false">IFERROR(__xludf.dummyfunction("iferror(match(O$1,SPLIT($M57,"",""),0)&gt;0,false)"),1)</f>
        <v>1</v>
      </c>
      <c r="Y57" s="9" t="n">
        <f aca="false">IFERROR(__xludf.dummyfunction("iferror(match(O$1,SPLIT($M57,"",""),0)&gt;0,false)"),1)</f>
        <v>1</v>
      </c>
      <c r="Z57" s="9" t="n">
        <f aca="false">IFERROR(__xludf.dummyfunction("iferror(match(O$1,SPLIT($M57,"",""),0)&gt;0,false)"),1)</f>
        <v>1</v>
      </c>
      <c r="AA57" s="9" t="n">
        <f aca="false">IFERROR(__xludf.dummyfunction("iferror(match(O$1,SPLIT($M57,"",""),0)&gt;0,false)"),1)</f>
        <v>1</v>
      </c>
      <c r="AB57" s="9" t="n">
        <f aca="false">IFERROR(__xludf.dummyfunction("iferror(match(O$1,SPLIT($M57,"",""),0)&gt;0,false)"),1)</f>
        <v>1</v>
      </c>
      <c r="AC57" s="4" t="s">
        <v>98</v>
      </c>
    </row>
    <row r="58" customFormat="false" ht="22" hidden="false" customHeight="false" outlineLevel="0" collapsed="false">
      <c r="A58" s="4" t="n">
        <v>10017</v>
      </c>
      <c r="B58" s="4" t="s">
        <v>129</v>
      </c>
      <c r="C58" s="5" t="s">
        <v>130</v>
      </c>
      <c r="D58" s="6" t="n">
        <v>10</v>
      </c>
      <c r="E58" s="6" t="n">
        <v>5700</v>
      </c>
      <c r="F58" s="7" t="n">
        <f aca="false">IFERROR(__xludf.dummyfunction("COUNT(FILTER(Ingredientes!A:A,Ingredientes!A:A=A58))"),5)</f>
        <v>5</v>
      </c>
      <c r="G58" s="7" t="n">
        <f aca="false">IFERROR(__xludf.dummyfunction("COUNT(FILTER(Ingredientes!A:A,Ingredientes!C:C=A58))"),0)</f>
        <v>0</v>
      </c>
      <c r="H58" s="7" t="n">
        <v>1</v>
      </c>
      <c r="I58" s="4" t="n">
        <v>1</v>
      </c>
      <c r="J58" s="4" t="s">
        <v>28</v>
      </c>
      <c r="K58" s="7" t="n">
        <v>1</v>
      </c>
      <c r="L58" s="7" t="n">
        <v>10</v>
      </c>
      <c r="M58" s="8" t="str">
        <f aca="false">IFERROR(__xludf.dummyfunction("JOIN("","", iferror(filter('Asignación'!C:C,'Asignación'!A:A=A58),{1,2,3,4,5,6,7,8,9,10,11,12,13,14}))"),"1,2,3,4,5,6,7,8,9,10,11,12,13,14")</f>
        <v>1,2,3,4,5,6,7,8,9,10,11,12,13,14</v>
      </c>
      <c r="N58" s="4" t="n">
        <f aca="false">IFERROR(__xludf.dummyfunction("countunique(iferror(filter('Asignación'!C:C,'Asignación'!A:A=A58),{1,2,3,4,5,6,7,8,9,10,11,12,13,14}))"),14)</f>
        <v>14</v>
      </c>
      <c r="O58" s="9" t="n">
        <f aca="false">IFERROR(__xludf.dummyfunction("iferror(match(O$1,SPLIT($M58,"",""),0)&gt;0,false)"),1)</f>
        <v>1</v>
      </c>
      <c r="P58" s="9" t="n">
        <f aca="false">IFERROR(__xludf.dummyfunction("iferror(match(O$1,SPLIT($M58,"",""),0)&gt;0,false)"),1)</f>
        <v>1</v>
      </c>
      <c r="Q58" s="9" t="n">
        <f aca="false">IFERROR(__xludf.dummyfunction("iferror(match(O$1,SPLIT($M58,"",""),0)&gt;0,false)"),1)</f>
        <v>1</v>
      </c>
      <c r="R58" s="9" t="n">
        <f aca="false">IFERROR(__xludf.dummyfunction("iferror(match(O$1,SPLIT($M58,"",""),0)&gt;0,false)"),1)</f>
        <v>1</v>
      </c>
      <c r="S58" s="9" t="n">
        <f aca="false">IFERROR(__xludf.dummyfunction("iferror(match(O$1,SPLIT($M58,"",""),0)&gt;0,false)"),1)</f>
        <v>1</v>
      </c>
      <c r="T58" s="9" t="n">
        <f aca="false">IFERROR(__xludf.dummyfunction("iferror(match(O$1,SPLIT($M58,"",""),0)&gt;0,false)"),1)</f>
        <v>1</v>
      </c>
      <c r="U58" s="9" t="n">
        <f aca="false">IFERROR(__xludf.dummyfunction("iferror(match(O$1,SPLIT($M58,"",""),0)&gt;0,false)"),1)</f>
        <v>1</v>
      </c>
      <c r="V58" s="9" t="n">
        <f aca="false">IFERROR(__xludf.dummyfunction("iferror(match(O$1,SPLIT($M58,"",""),0)&gt;0,false)"),1)</f>
        <v>1</v>
      </c>
      <c r="W58" s="9" t="n">
        <f aca="false">IFERROR(__xludf.dummyfunction("iferror(match(O$1,SPLIT($M58,"",""),0)&gt;0,false)"),1)</f>
        <v>1</v>
      </c>
      <c r="X58" s="9" t="n">
        <f aca="false">IFERROR(__xludf.dummyfunction("iferror(match(O$1,SPLIT($M58,"",""),0)&gt;0,false)"),1)</f>
        <v>1</v>
      </c>
      <c r="Y58" s="9" t="n">
        <f aca="false">IFERROR(__xludf.dummyfunction("iferror(match(O$1,SPLIT($M58,"",""),0)&gt;0,false)"),1)</f>
        <v>1</v>
      </c>
      <c r="Z58" s="9" t="n">
        <f aca="false">IFERROR(__xludf.dummyfunction("iferror(match(O$1,SPLIT($M58,"",""),0)&gt;0,false)"),1)</f>
        <v>1</v>
      </c>
      <c r="AA58" s="9" t="n">
        <f aca="false">IFERROR(__xludf.dummyfunction("iferror(match(O$1,SPLIT($M58,"",""),0)&gt;0,false)"),1)</f>
        <v>1</v>
      </c>
      <c r="AB58" s="9" t="n">
        <f aca="false">IFERROR(__xludf.dummyfunction("iferror(match(O$1,SPLIT($M58,"",""),0)&gt;0,false)"),1)</f>
        <v>1</v>
      </c>
      <c r="AC58" s="4" t="s">
        <v>98</v>
      </c>
    </row>
    <row r="59" customFormat="false" ht="22" hidden="false" customHeight="false" outlineLevel="0" collapsed="false">
      <c r="A59" s="4" t="n">
        <v>10018</v>
      </c>
      <c r="B59" s="4" t="s">
        <v>131</v>
      </c>
      <c r="C59" s="5" t="s">
        <v>132</v>
      </c>
      <c r="D59" s="6" t="n">
        <v>10</v>
      </c>
      <c r="E59" s="6" t="n">
        <v>5700</v>
      </c>
      <c r="F59" s="7" t="n">
        <f aca="false">IFERROR(__xludf.dummyfunction("COUNT(FILTER(Ingredientes!A:A,Ingredientes!A:A=A59))"),5)</f>
        <v>5</v>
      </c>
      <c r="G59" s="7" t="n">
        <f aca="false">IFERROR(__xludf.dummyfunction("COUNT(FILTER(Ingredientes!A:A,Ingredientes!C:C=A59))"),0)</f>
        <v>0</v>
      </c>
      <c r="H59" s="7" t="n">
        <v>1</v>
      </c>
      <c r="I59" s="4" t="n">
        <v>1</v>
      </c>
      <c r="J59" s="4" t="s">
        <v>28</v>
      </c>
      <c r="K59" s="7" t="n">
        <v>1</v>
      </c>
      <c r="L59" s="7" t="n">
        <v>10</v>
      </c>
      <c r="M59" s="8" t="str">
        <f aca="false">IFERROR(__xludf.dummyfunction("JOIN("","", iferror(filter('Asignación'!C:C,'Asignación'!A:A=A59),{1,2,3,4,5,6,7,8,9,10,11,12,13,14}))"),"1,2,3,4,5,6,7,8,9,10,11,12,13,14")</f>
        <v>1,2,3,4,5,6,7,8,9,10,11,12,13,14</v>
      </c>
      <c r="N59" s="4" t="n">
        <f aca="false">IFERROR(__xludf.dummyfunction("countunique(iferror(filter('Asignación'!C:C,'Asignación'!A:A=A59),{1,2,3,4,5,6,7,8,9,10,11,12,13,14}))"),14)</f>
        <v>14</v>
      </c>
      <c r="O59" s="9" t="n">
        <f aca="false">IFERROR(__xludf.dummyfunction("iferror(match(O$1,SPLIT($M59,"",""),0)&gt;0,false)"),1)</f>
        <v>1</v>
      </c>
      <c r="P59" s="9" t="n">
        <f aca="false">IFERROR(__xludf.dummyfunction("iferror(match(O$1,SPLIT($M59,"",""),0)&gt;0,false)"),1)</f>
        <v>1</v>
      </c>
      <c r="Q59" s="9" t="n">
        <f aca="false">IFERROR(__xludf.dummyfunction("iferror(match(O$1,SPLIT($M59,"",""),0)&gt;0,false)"),1)</f>
        <v>1</v>
      </c>
      <c r="R59" s="9" t="n">
        <f aca="false">IFERROR(__xludf.dummyfunction("iferror(match(O$1,SPLIT($M59,"",""),0)&gt;0,false)"),1)</f>
        <v>1</v>
      </c>
      <c r="S59" s="9" t="n">
        <f aca="false">IFERROR(__xludf.dummyfunction("iferror(match(O$1,SPLIT($M59,"",""),0)&gt;0,false)"),1)</f>
        <v>1</v>
      </c>
      <c r="T59" s="9" t="n">
        <f aca="false">IFERROR(__xludf.dummyfunction("iferror(match(O$1,SPLIT($M59,"",""),0)&gt;0,false)"),1)</f>
        <v>1</v>
      </c>
      <c r="U59" s="9" t="n">
        <f aca="false">IFERROR(__xludf.dummyfunction("iferror(match(O$1,SPLIT($M59,"",""),0)&gt;0,false)"),1)</f>
        <v>1</v>
      </c>
      <c r="V59" s="9" t="n">
        <f aca="false">IFERROR(__xludf.dummyfunction("iferror(match(O$1,SPLIT($M59,"",""),0)&gt;0,false)"),1)</f>
        <v>1</v>
      </c>
      <c r="W59" s="9" t="n">
        <f aca="false">IFERROR(__xludf.dummyfunction("iferror(match(O$1,SPLIT($M59,"",""),0)&gt;0,false)"),1)</f>
        <v>1</v>
      </c>
      <c r="X59" s="9" t="n">
        <f aca="false">IFERROR(__xludf.dummyfunction("iferror(match(O$1,SPLIT($M59,"",""),0)&gt;0,false)"),1)</f>
        <v>1</v>
      </c>
      <c r="Y59" s="9" t="n">
        <f aca="false">IFERROR(__xludf.dummyfunction("iferror(match(O$1,SPLIT($M59,"",""),0)&gt;0,false)"),1)</f>
        <v>1</v>
      </c>
      <c r="Z59" s="9" t="n">
        <f aca="false">IFERROR(__xludf.dummyfunction("iferror(match(O$1,SPLIT($M59,"",""),0)&gt;0,false)"),1)</f>
        <v>1</v>
      </c>
      <c r="AA59" s="9" t="n">
        <f aca="false">IFERROR(__xludf.dummyfunction("iferror(match(O$1,SPLIT($M59,"",""),0)&gt;0,false)"),1)</f>
        <v>1</v>
      </c>
      <c r="AB59" s="9" t="n">
        <f aca="false">IFERROR(__xludf.dummyfunction("iferror(match(O$1,SPLIT($M59,"",""),0)&gt;0,false)"),1)</f>
        <v>1</v>
      </c>
      <c r="AC59" s="4" t="s">
        <v>98</v>
      </c>
    </row>
    <row r="60" customFormat="false" ht="22" hidden="false" customHeight="false" outlineLevel="0" collapsed="false">
      <c r="A60" s="4" t="n">
        <v>10019</v>
      </c>
      <c r="B60" s="4" t="s">
        <v>133</v>
      </c>
      <c r="C60" s="5" t="s">
        <v>134</v>
      </c>
      <c r="D60" s="6" t="n">
        <v>10</v>
      </c>
      <c r="E60" s="6" t="n">
        <v>5700</v>
      </c>
      <c r="F60" s="7" t="n">
        <f aca="false">IFERROR(__xludf.dummyfunction("COUNT(FILTER(Ingredientes!A:A,Ingredientes!A:A=A60))"),5)</f>
        <v>5</v>
      </c>
      <c r="G60" s="7" t="n">
        <f aca="false">IFERROR(__xludf.dummyfunction("COUNT(FILTER(Ingredientes!A:A,Ingredientes!C:C=A60))"),0)</f>
        <v>0</v>
      </c>
      <c r="H60" s="7" t="n">
        <v>1</v>
      </c>
      <c r="I60" s="4" t="n">
        <v>1</v>
      </c>
      <c r="J60" s="4" t="s">
        <v>28</v>
      </c>
      <c r="K60" s="7" t="n">
        <v>1</v>
      </c>
      <c r="L60" s="7" t="n">
        <v>10</v>
      </c>
      <c r="M60" s="8" t="str">
        <f aca="false">IFERROR(__xludf.dummyfunction("JOIN("","", iferror(filter('Asignación'!C:C,'Asignación'!A:A=A60),{1,2,3,4,5,6,7,8,9,10,11,12,13,14}))"),"1,2,3,4,5,6,7,8,9,10,11,12,13,14")</f>
        <v>1,2,3,4,5,6,7,8,9,10,11,12,13,14</v>
      </c>
      <c r="N60" s="4" t="n">
        <f aca="false">IFERROR(__xludf.dummyfunction("countunique(iferror(filter('Asignación'!C:C,'Asignación'!A:A=A60),{1,2,3,4,5,6,7,8,9,10,11,12,13,14}))"),14)</f>
        <v>14</v>
      </c>
      <c r="O60" s="9" t="n">
        <f aca="false">IFERROR(__xludf.dummyfunction("iferror(match(O$1,SPLIT($M60,"",""),0)&gt;0,false)"),1)</f>
        <v>1</v>
      </c>
      <c r="P60" s="9" t="n">
        <f aca="false">IFERROR(__xludf.dummyfunction("iferror(match(O$1,SPLIT($M60,"",""),0)&gt;0,false)"),1)</f>
        <v>1</v>
      </c>
      <c r="Q60" s="9" t="n">
        <f aca="false">IFERROR(__xludf.dummyfunction("iferror(match(O$1,SPLIT($M60,"",""),0)&gt;0,false)"),1)</f>
        <v>1</v>
      </c>
      <c r="R60" s="9" t="n">
        <f aca="false">IFERROR(__xludf.dummyfunction("iferror(match(O$1,SPLIT($M60,"",""),0)&gt;0,false)"),1)</f>
        <v>1</v>
      </c>
      <c r="S60" s="9" t="n">
        <f aca="false">IFERROR(__xludf.dummyfunction("iferror(match(O$1,SPLIT($M60,"",""),0)&gt;0,false)"),1)</f>
        <v>1</v>
      </c>
      <c r="T60" s="9" t="n">
        <f aca="false">IFERROR(__xludf.dummyfunction("iferror(match(O$1,SPLIT($M60,"",""),0)&gt;0,false)"),1)</f>
        <v>1</v>
      </c>
      <c r="U60" s="9" t="n">
        <f aca="false">IFERROR(__xludf.dummyfunction("iferror(match(O$1,SPLIT($M60,"",""),0)&gt;0,false)"),1)</f>
        <v>1</v>
      </c>
      <c r="V60" s="9" t="n">
        <f aca="false">IFERROR(__xludf.dummyfunction("iferror(match(O$1,SPLIT($M60,"",""),0)&gt;0,false)"),1)</f>
        <v>1</v>
      </c>
      <c r="W60" s="9" t="n">
        <f aca="false">IFERROR(__xludf.dummyfunction("iferror(match(O$1,SPLIT($M60,"",""),0)&gt;0,false)"),1)</f>
        <v>1</v>
      </c>
      <c r="X60" s="9" t="n">
        <f aca="false">IFERROR(__xludf.dummyfunction("iferror(match(O$1,SPLIT($M60,"",""),0)&gt;0,false)"),1)</f>
        <v>1</v>
      </c>
      <c r="Y60" s="9" t="n">
        <f aca="false">IFERROR(__xludf.dummyfunction("iferror(match(O$1,SPLIT($M60,"",""),0)&gt;0,false)"),1)</f>
        <v>1</v>
      </c>
      <c r="Z60" s="9" t="n">
        <f aca="false">IFERROR(__xludf.dummyfunction("iferror(match(O$1,SPLIT($M60,"",""),0)&gt;0,false)"),1)</f>
        <v>1</v>
      </c>
      <c r="AA60" s="9" t="n">
        <f aca="false">IFERROR(__xludf.dummyfunction("iferror(match(O$1,SPLIT($M60,"",""),0)&gt;0,false)"),1)</f>
        <v>1</v>
      </c>
      <c r="AB60" s="9" t="n">
        <f aca="false">IFERROR(__xludf.dummyfunction("iferror(match(O$1,SPLIT($M60,"",""),0)&gt;0,false)"),1)</f>
        <v>1</v>
      </c>
      <c r="AC60" s="4" t="s">
        <v>98</v>
      </c>
    </row>
    <row r="61" customFormat="false" ht="22" hidden="false" customHeight="false" outlineLevel="0" collapsed="false">
      <c r="A61" s="4" t="n">
        <v>10020</v>
      </c>
      <c r="B61" s="4" t="s">
        <v>135</v>
      </c>
      <c r="C61" s="5" t="s">
        <v>136</v>
      </c>
      <c r="D61" s="6" t="n">
        <v>10</v>
      </c>
      <c r="E61" s="6" t="n">
        <v>5900</v>
      </c>
      <c r="F61" s="7" t="n">
        <f aca="false">IFERROR(__xludf.dummyfunction("COUNT(FILTER(Ingredientes!A:A,Ingredientes!A:A=A61))"),6)</f>
        <v>6</v>
      </c>
      <c r="G61" s="7" t="n">
        <f aca="false">IFERROR(__xludf.dummyfunction("COUNT(FILTER(Ingredientes!A:A,Ingredientes!C:C=A61))"),0)</f>
        <v>0</v>
      </c>
      <c r="H61" s="7" t="n">
        <v>1</v>
      </c>
      <c r="I61" s="4" t="n">
        <v>1</v>
      </c>
      <c r="J61" s="4" t="s">
        <v>28</v>
      </c>
      <c r="K61" s="7" t="n">
        <v>1</v>
      </c>
      <c r="L61" s="7" t="n">
        <v>20</v>
      </c>
      <c r="M61" s="8" t="str">
        <f aca="false">IFERROR(__xludf.dummyfunction("JOIN("","", iferror(filter('Asignación'!C:C,'Asignación'!A:A=A61),{1,2,3,4,5,6,7,8,9,10,11,12,13,14}))"),"1,2,3,4,5,6,7,8,9,10,11,12,13,14")</f>
        <v>1,2,3,4,5,6,7,8,9,10,11,12,13,14</v>
      </c>
      <c r="N61" s="4" t="n">
        <f aca="false">IFERROR(__xludf.dummyfunction("countunique(iferror(filter('Asignación'!C:C,'Asignación'!A:A=A61),{1,2,3,4,5,6,7,8,9,10,11,12,13,14}))"),14)</f>
        <v>14</v>
      </c>
      <c r="O61" s="9" t="n">
        <f aca="false">IFERROR(__xludf.dummyfunction("iferror(match(O$1,SPLIT($M61,"",""),0)&gt;0,false)"),1)</f>
        <v>1</v>
      </c>
      <c r="P61" s="9" t="n">
        <f aca="false">IFERROR(__xludf.dummyfunction("iferror(match(O$1,SPLIT($M61,"",""),0)&gt;0,false)"),1)</f>
        <v>1</v>
      </c>
      <c r="Q61" s="9" t="n">
        <f aca="false">IFERROR(__xludf.dummyfunction("iferror(match(O$1,SPLIT($M61,"",""),0)&gt;0,false)"),1)</f>
        <v>1</v>
      </c>
      <c r="R61" s="9" t="n">
        <f aca="false">IFERROR(__xludf.dummyfunction("iferror(match(O$1,SPLIT($M61,"",""),0)&gt;0,false)"),1)</f>
        <v>1</v>
      </c>
      <c r="S61" s="9" t="n">
        <f aca="false">IFERROR(__xludf.dummyfunction("iferror(match(O$1,SPLIT($M61,"",""),0)&gt;0,false)"),1)</f>
        <v>1</v>
      </c>
      <c r="T61" s="9" t="n">
        <f aca="false">IFERROR(__xludf.dummyfunction("iferror(match(O$1,SPLIT($M61,"",""),0)&gt;0,false)"),1)</f>
        <v>1</v>
      </c>
      <c r="U61" s="9" t="n">
        <f aca="false">IFERROR(__xludf.dummyfunction("iferror(match(O$1,SPLIT($M61,"",""),0)&gt;0,false)"),1)</f>
        <v>1</v>
      </c>
      <c r="V61" s="9" t="n">
        <f aca="false">IFERROR(__xludf.dummyfunction("iferror(match(O$1,SPLIT($M61,"",""),0)&gt;0,false)"),1)</f>
        <v>1</v>
      </c>
      <c r="W61" s="9" t="n">
        <f aca="false">IFERROR(__xludf.dummyfunction("iferror(match(O$1,SPLIT($M61,"",""),0)&gt;0,false)"),1)</f>
        <v>1</v>
      </c>
      <c r="X61" s="9" t="n">
        <f aca="false">IFERROR(__xludf.dummyfunction("iferror(match(O$1,SPLIT($M61,"",""),0)&gt;0,false)"),1)</f>
        <v>1</v>
      </c>
      <c r="Y61" s="9" t="n">
        <f aca="false">IFERROR(__xludf.dummyfunction("iferror(match(O$1,SPLIT($M61,"",""),0)&gt;0,false)"),1)</f>
        <v>1</v>
      </c>
      <c r="Z61" s="9" t="n">
        <f aca="false">IFERROR(__xludf.dummyfunction("iferror(match(O$1,SPLIT($M61,"",""),0)&gt;0,false)"),1)</f>
        <v>1</v>
      </c>
      <c r="AA61" s="9" t="n">
        <f aca="false">IFERROR(__xludf.dummyfunction("iferror(match(O$1,SPLIT($M61,"",""),0)&gt;0,false)"),1)</f>
        <v>1</v>
      </c>
      <c r="AB61" s="9" t="n">
        <f aca="false">IFERROR(__xludf.dummyfunction("iferror(match(O$1,SPLIT($M61,"",""),0)&gt;0,false)"),1)</f>
        <v>1</v>
      </c>
      <c r="AC61" s="4" t="s">
        <v>98</v>
      </c>
    </row>
    <row r="62" customFormat="false" ht="22" hidden="false" customHeight="false" outlineLevel="0" collapsed="false">
      <c r="A62" s="4" t="n">
        <v>10021</v>
      </c>
      <c r="B62" s="4" t="s">
        <v>137</v>
      </c>
      <c r="C62" s="5" t="s">
        <v>138</v>
      </c>
      <c r="D62" s="6" t="n">
        <v>10</v>
      </c>
      <c r="E62" s="6" t="n">
        <v>5900</v>
      </c>
      <c r="F62" s="7" t="n">
        <f aca="false">IFERROR(__xludf.dummyfunction("COUNT(FILTER(Ingredientes!A:A,Ingredientes!A:A=A62))"),5)</f>
        <v>5</v>
      </c>
      <c r="G62" s="7" t="n">
        <f aca="false">IFERROR(__xludf.dummyfunction("COUNT(FILTER(Ingredientes!A:A,Ingredientes!C:C=A62))"),0)</f>
        <v>0</v>
      </c>
      <c r="H62" s="7" t="n">
        <v>1</v>
      </c>
      <c r="I62" s="4" t="n">
        <v>1</v>
      </c>
      <c r="J62" s="4" t="s">
        <v>28</v>
      </c>
      <c r="K62" s="7" t="n">
        <v>1</v>
      </c>
      <c r="L62" s="7" t="n">
        <v>10</v>
      </c>
      <c r="M62" s="8" t="str">
        <f aca="false">IFERROR(__xludf.dummyfunction("JOIN("","", iferror(filter('Asignación'!C:C,'Asignación'!A:A=A62),{1,2,3,4,5,6,7,8,9,10,11,12,13,14}))"),"1,2,3,4,5,6,7,8,9,10,11,12,13,14")</f>
        <v>1,2,3,4,5,6,7,8,9,10,11,12,13,14</v>
      </c>
      <c r="N62" s="4" t="n">
        <f aca="false">IFERROR(__xludf.dummyfunction("countunique(iferror(filter('Asignación'!C:C,'Asignación'!A:A=A62),{1,2,3,4,5,6,7,8,9,10,11,12,13,14}))"),14)</f>
        <v>14</v>
      </c>
      <c r="O62" s="9" t="n">
        <f aca="false">IFERROR(__xludf.dummyfunction("iferror(match(O$1,SPLIT($M62,"",""),0)&gt;0,false)"),1)</f>
        <v>1</v>
      </c>
      <c r="P62" s="9" t="n">
        <f aca="false">IFERROR(__xludf.dummyfunction("iferror(match(O$1,SPLIT($M62,"",""),0)&gt;0,false)"),1)</f>
        <v>1</v>
      </c>
      <c r="Q62" s="9" t="n">
        <f aca="false">IFERROR(__xludf.dummyfunction("iferror(match(O$1,SPLIT($M62,"",""),0)&gt;0,false)"),1)</f>
        <v>1</v>
      </c>
      <c r="R62" s="9" t="n">
        <f aca="false">IFERROR(__xludf.dummyfunction("iferror(match(O$1,SPLIT($M62,"",""),0)&gt;0,false)"),1)</f>
        <v>1</v>
      </c>
      <c r="S62" s="9" t="n">
        <f aca="false">IFERROR(__xludf.dummyfunction("iferror(match(O$1,SPLIT($M62,"",""),0)&gt;0,false)"),1)</f>
        <v>1</v>
      </c>
      <c r="T62" s="9" t="n">
        <f aca="false">IFERROR(__xludf.dummyfunction("iferror(match(O$1,SPLIT($M62,"",""),0)&gt;0,false)"),1)</f>
        <v>1</v>
      </c>
      <c r="U62" s="9" t="n">
        <f aca="false">IFERROR(__xludf.dummyfunction("iferror(match(O$1,SPLIT($M62,"",""),0)&gt;0,false)"),1)</f>
        <v>1</v>
      </c>
      <c r="V62" s="9" t="n">
        <f aca="false">IFERROR(__xludf.dummyfunction("iferror(match(O$1,SPLIT($M62,"",""),0)&gt;0,false)"),1)</f>
        <v>1</v>
      </c>
      <c r="W62" s="9" t="n">
        <f aca="false">IFERROR(__xludf.dummyfunction("iferror(match(O$1,SPLIT($M62,"",""),0)&gt;0,false)"),1)</f>
        <v>1</v>
      </c>
      <c r="X62" s="9" t="n">
        <f aca="false">IFERROR(__xludf.dummyfunction("iferror(match(O$1,SPLIT($M62,"",""),0)&gt;0,false)"),1)</f>
        <v>1</v>
      </c>
      <c r="Y62" s="9" t="n">
        <f aca="false">IFERROR(__xludf.dummyfunction("iferror(match(O$1,SPLIT($M62,"",""),0)&gt;0,false)"),1)</f>
        <v>1</v>
      </c>
      <c r="Z62" s="9" t="n">
        <f aca="false">IFERROR(__xludf.dummyfunction("iferror(match(O$1,SPLIT($M62,"",""),0)&gt;0,false)"),1)</f>
        <v>1</v>
      </c>
      <c r="AA62" s="9" t="n">
        <f aca="false">IFERROR(__xludf.dummyfunction("iferror(match(O$1,SPLIT($M62,"",""),0)&gt;0,false)"),1)</f>
        <v>1</v>
      </c>
      <c r="AB62" s="9" t="n">
        <f aca="false">IFERROR(__xludf.dummyfunction("iferror(match(O$1,SPLIT($M62,"",""),0)&gt;0,false)"),1)</f>
        <v>1</v>
      </c>
      <c r="AC62" s="4" t="s">
        <v>98</v>
      </c>
    </row>
    <row r="63" customFormat="false" ht="22" hidden="false" customHeight="false" outlineLevel="0" collapsed="false">
      <c r="A63" s="4" t="n">
        <v>10022</v>
      </c>
      <c r="B63" s="4" t="s">
        <v>139</v>
      </c>
      <c r="C63" s="5" t="s">
        <v>140</v>
      </c>
      <c r="D63" s="6" t="n">
        <v>10</v>
      </c>
      <c r="E63" s="6" t="n">
        <v>5500</v>
      </c>
      <c r="F63" s="7" t="n">
        <f aca="false">IFERROR(__xludf.dummyfunction("COUNT(FILTER(Ingredientes!A:A,Ingredientes!A:A=A63))"),6)</f>
        <v>6</v>
      </c>
      <c r="G63" s="7" t="n">
        <f aca="false">IFERROR(__xludf.dummyfunction("COUNT(FILTER(Ingredientes!A:A,Ingredientes!C:C=A63))"),0)</f>
        <v>0</v>
      </c>
      <c r="H63" s="7" t="n">
        <v>1</v>
      </c>
      <c r="I63" s="4" t="n">
        <v>1</v>
      </c>
      <c r="J63" s="4" t="s">
        <v>28</v>
      </c>
      <c r="K63" s="7" t="n">
        <v>1</v>
      </c>
      <c r="L63" s="7" t="n">
        <v>20</v>
      </c>
      <c r="M63" s="8" t="str">
        <f aca="false">IFERROR(__xludf.dummyfunction("JOIN("","", iferror(filter('Asignación'!C:C,'Asignación'!A:A=A63),{1,2,3,4,5,6,7,8,9,10,11,12,13,14}))"),"1,2,3,4,5,6,7,8,9,10,11,12,13,14")</f>
        <v>1,2,3,4,5,6,7,8,9,10,11,12,13,14</v>
      </c>
      <c r="N63" s="4" t="n">
        <f aca="false">IFERROR(__xludf.dummyfunction("countunique(iferror(filter('Asignación'!C:C,'Asignación'!A:A=A63),{1,2,3,4,5,6,7,8,9,10,11,12,13,14}))"),14)</f>
        <v>14</v>
      </c>
      <c r="O63" s="9" t="n">
        <f aca="false">IFERROR(__xludf.dummyfunction("iferror(match(O$1,SPLIT($M63,"",""),0)&gt;0,false)"),1)</f>
        <v>1</v>
      </c>
      <c r="P63" s="9" t="n">
        <f aca="false">IFERROR(__xludf.dummyfunction("iferror(match(O$1,SPLIT($M63,"",""),0)&gt;0,false)"),1)</f>
        <v>1</v>
      </c>
      <c r="Q63" s="9" t="n">
        <f aca="false">IFERROR(__xludf.dummyfunction("iferror(match(O$1,SPLIT($M63,"",""),0)&gt;0,false)"),1)</f>
        <v>1</v>
      </c>
      <c r="R63" s="9" t="n">
        <f aca="false">IFERROR(__xludf.dummyfunction("iferror(match(O$1,SPLIT($M63,"",""),0)&gt;0,false)"),1)</f>
        <v>1</v>
      </c>
      <c r="S63" s="9" t="n">
        <f aca="false">IFERROR(__xludf.dummyfunction("iferror(match(O$1,SPLIT($M63,"",""),0)&gt;0,false)"),1)</f>
        <v>1</v>
      </c>
      <c r="T63" s="9" t="n">
        <f aca="false">IFERROR(__xludf.dummyfunction("iferror(match(O$1,SPLIT($M63,"",""),0)&gt;0,false)"),1)</f>
        <v>1</v>
      </c>
      <c r="U63" s="9" t="n">
        <f aca="false">IFERROR(__xludf.dummyfunction("iferror(match(O$1,SPLIT($M63,"",""),0)&gt;0,false)"),1)</f>
        <v>1</v>
      </c>
      <c r="V63" s="9" t="n">
        <f aca="false">IFERROR(__xludf.dummyfunction("iferror(match(O$1,SPLIT($M63,"",""),0)&gt;0,false)"),1)</f>
        <v>1</v>
      </c>
      <c r="W63" s="9" t="n">
        <f aca="false">IFERROR(__xludf.dummyfunction("iferror(match(O$1,SPLIT($M63,"",""),0)&gt;0,false)"),1)</f>
        <v>1</v>
      </c>
      <c r="X63" s="9" t="n">
        <f aca="false">IFERROR(__xludf.dummyfunction("iferror(match(O$1,SPLIT($M63,"",""),0)&gt;0,false)"),1)</f>
        <v>1</v>
      </c>
      <c r="Y63" s="9" t="n">
        <f aca="false">IFERROR(__xludf.dummyfunction("iferror(match(O$1,SPLIT($M63,"",""),0)&gt;0,false)"),1)</f>
        <v>1</v>
      </c>
      <c r="Z63" s="9" t="n">
        <f aca="false">IFERROR(__xludf.dummyfunction("iferror(match(O$1,SPLIT($M63,"",""),0)&gt;0,false)"),1)</f>
        <v>1</v>
      </c>
      <c r="AA63" s="9" t="n">
        <f aca="false">IFERROR(__xludf.dummyfunction("iferror(match(O$1,SPLIT($M63,"",""),0)&gt;0,false)"),1)</f>
        <v>1</v>
      </c>
      <c r="AB63" s="9" t="n">
        <f aca="false">IFERROR(__xludf.dummyfunction("iferror(match(O$1,SPLIT($M63,"",""),0)&gt;0,false)"),1)</f>
        <v>1</v>
      </c>
      <c r="AC63" s="4" t="s">
        <v>98</v>
      </c>
    </row>
    <row r="64" customFormat="false" ht="22" hidden="false" customHeight="false" outlineLevel="0" collapsed="false">
      <c r="A64" s="4" t="n">
        <v>10023</v>
      </c>
      <c r="B64" s="4" t="s">
        <v>141</v>
      </c>
      <c r="C64" s="5" t="s">
        <v>142</v>
      </c>
      <c r="D64" s="6" t="n">
        <v>10</v>
      </c>
      <c r="E64" s="6" t="n">
        <v>5500</v>
      </c>
      <c r="F64" s="7" t="n">
        <f aca="false">IFERROR(__xludf.dummyfunction("COUNT(FILTER(Ingredientes!A:A,Ingredientes!A:A=A64))"),6)</f>
        <v>6</v>
      </c>
      <c r="G64" s="7" t="n">
        <f aca="false">IFERROR(__xludf.dummyfunction("COUNT(FILTER(Ingredientes!A:A,Ingredientes!C:C=A64))"),0)</f>
        <v>0</v>
      </c>
      <c r="H64" s="7" t="n">
        <v>1</v>
      </c>
      <c r="I64" s="4" t="n">
        <v>1</v>
      </c>
      <c r="J64" s="4" t="s">
        <v>28</v>
      </c>
      <c r="K64" s="7" t="n">
        <v>1</v>
      </c>
      <c r="L64" s="7" t="n">
        <v>20</v>
      </c>
      <c r="M64" s="8" t="str">
        <f aca="false">IFERROR(__xludf.dummyfunction("JOIN("","", iferror(filter('Asignación'!C:C,'Asignación'!A:A=A64),{1,2,3,4,5,6,7,8,9,10,11,12,13,14}))"),"1,2,3,4,5,6,7,8,9,10,11,12,13,14")</f>
        <v>1,2,3,4,5,6,7,8,9,10,11,12,13,14</v>
      </c>
      <c r="N64" s="4" t="n">
        <f aca="false">IFERROR(__xludf.dummyfunction("countunique(iferror(filter('Asignación'!C:C,'Asignación'!A:A=A64),{1,2,3,4,5,6,7,8,9,10,11,12,13,14}))"),14)</f>
        <v>14</v>
      </c>
      <c r="O64" s="9" t="n">
        <f aca="false">IFERROR(__xludf.dummyfunction("iferror(match(O$1,SPLIT($M64,"",""),0)&gt;0,false)"),1)</f>
        <v>1</v>
      </c>
      <c r="P64" s="9" t="n">
        <f aca="false">IFERROR(__xludf.dummyfunction("iferror(match(O$1,SPLIT($M64,"",""),0)&gt;0,false)"),1)</f>
        <v>1</v>
      </c>
      <c r="Q64" s="9" t="n">
        <f aca="false">IFERROR(__xludf.dummyfunction("iferror(match(O$1,SPLIT($M64,"",""),0)&gt;0,false)"),1)</f>
        <v>1</v>
      </c>
      <c r="R64" s="9" t="n">
        <f aca="false">IFERROR(__xludf.dummyfunction("iferror(match(O$1,SPLIT($M64,"",""),0)&gt;0,false)"),1)</f>
        <v>1</v>
      </c>
      <c r="S64" s="9" t="n">
        <f aca="false">IFERROR(__xludf.dummyfunction("iferror(match(O$1,SPLIT($M64,"",""),0)&gt;0,false)"),1)</f>
        <v>1</v>
      </c>
      <c r="T64" s="9" t="n">
        <f aca="false">IFERROR(__xludf.dummyfunction("iferror(match(O$1,SPLIT($M64,"",""),0)&gt;0,false)"),1)</f>
        <v>1</v>
      </c>
      <c r="U64" s="9" t="n">
        <f aca="false">IFERROR(__xludf.dummyfunction("iferror(match(O$1,SPLIT($M64,"",""),0)&gt;0,false)"),1)</f>
        <v>1</v>
      </c>
      <c r="V64" s="9" t="n">
        <f aca="false">IFERROR(__xludf.dummyfunction("iferror(match(O$1,SPLIT($M64,"",""),0)&gt;0,false)"),1)</f>
        <v>1</v>
      </c>
      <c r="W64" s="9" t="n">
        <f aca="false">IFERROR(__xludf.dummyfunction("iferror(match(O$1,SPLIT($M64,"",""),0)&gt;0,false)"),1)</f>
        <v>1</v>
      </c>
      <c r="X64" s="9" t="n">
        <f aca="false">IFERROR(__xludf.dummyfunction("iferror(match(O$1,SPLIT($M64,"",""),0)&gt;0,false)"),1)</f>
        <v>1</v>
      </c>
      <c r="Y64" s="9" t="n">
        <f aca="false">IFERROR(__xludf.dummyfunction("iferror(match(O$1,SPLIT($M64,"",""),0)&gt;0,false)"),1)</f>
        <v>1</v>
      </c>
      <c r="Z64" s="9" t="n">
        <f aca="false">IFERROR(__xludf.dummyfunction("iferror(match(O$1,SPLIT($M64,"",""),0)&gt;0,false)"),1)</f>
        <v>1</v>
      </c>
      <c r="AA64" s="9" t="n">
        <f aca="false">IFERROR(__xludf.dummyfunction("iferror(match(O$1,SPLIT($M64,"",""),0)&gt;0,false)"),1)</f>
        <v>1</v>
      </c>
      <c r="AB64" s="9" t="n">
        <f aca="false">IFERROR(__xludf.dummyfunction("iferror(match(O$1,SPLIT($M64,"",""),0)&gt;0,false)"),1)</f>
        <v>1</v>
      </c>
      <c r="AC64" s="4" t="s">
        <v>98</v>
      </c>
    </row>
    <row r="65" customFormat="false" ht="22" hidden="false" customHeight="false" outlineLevel="0" collapsed="false">
      <c r="A65" s="4" t="n">
        <v>10024</v>
      </c>
      <c r="B65" s="4" t="s">
        <v>143</v>
      </c>
      <c r="C65" s="5" t="s">
        <v>144</v>
      </c>
      <c r="D65" s="6" t="n">
        <v>10</v>
      </c>
      <c r="E65" s="6" t="n">
        <v>4900</v>
      </c>
      <c r="F65" s="7" t="n">
        <f aca="false">IFERROR(__xludf.dummyfunction("COUNT(FILTER(Ingredientes!A:A,Ingredientes!A:A=A65))"),6)</f>
        <v>6</v>
      </c>
      <c r="G65" s="7" t="n">
        <f aca="false">IFERROR(__xludf.dummyfunction("COUNT(FILTER(Ingredientes!A:A,Ingredientes!C:C=A65))"),0)</f>
        <v>0</v>
      </c>
      <c r="H65" s="7" t="n">
        <v>1</v>
      </c>
      <c r="I65" s="4" t="n">
        <v>1</v>
      </c>
      <c r="J65" s="4" t="s">
        <v>28</v>
      </c>
      <c r="K65" s="7" t="n">
        <v>1</v>
      </c>
      <c r="L65" s="7" t="n">
        <v>20</v>
      </c>
      <c r="M65" s="8" t="str">
        <f aca="false">IFERROR(__xludf.dummyfunction("JOIN("","", iferror(filter('Asignación'!C:C,'Asignación'!A:A=A65),{1,2,3,4,5,6,7,8,9,10,11,12,13,14}))"),"1,2,3,4,5,6,7,8,9,10,11,12,13,14")</f>
        <v>1,2,3,4,5,6,7,8,9,10,11,12,13,14</v>
      </c>
      <c r="N65" s="4" t="n">
        <f aca="false">IFERROR(__xludf.dummyfunction("countunique(iferror(filter('Asignación'!C:C,'Asignación'!A:A=A65),{1,2,3,4,5,6,7,8,9,10,11,12,13,14}))"),14)</f>
        <v>14</v>
      </c>
      <c r="O65" s="9" t="n">
        <f aca="false">IFERROR(__xludf.dummyfunction("iferror(match(O$1,SPLIT($M65,"",""),0)&gt;0,false)"),1)</f>
        <v>1</v>
      </c>
      <c r="P65" s="9" t="n">
        <f aca="false">IFERROR(__xludf.dummyfunction("iferror(match(O$1,SPLIT($M65,"",""),0)&gt;0,false)"),1)</f>
        <v>1</v>
      </c>
      <c r="Q65" s="9" t="n">
        <f aca="false">IFERROR(__xludf.dummyfunction("iferror(match(O$1,SPLIT($M65,"",""),0)&gt;0,false)"),1)</f>
        <v>1</v>
      </c>
      <c r="R65" s="9" t="n">
        <f aca="false">IFERROR(__xludf.dummyfunction("iferror(match(O$1,SPLIT($M65,"",""),0)&gt;0,false)"),1)</f>
        <v>1</v>
      </c>
      <c r="S65" s="9" t="n">
        <f aca="false">IFERROR(__xludf.dummyfunction("iferror(match(O$1,SPLIT($M65,"",""),0)&gt;0,false)"),1)</f>
        <v>1</v>
      </c>
      <c r="T65" s="9" t="n">
        <f aca="false">IFERROR(__xludf.dummyfunction("iferror(match(O$1,SPLIT($M65,"",""),0)&gt;0,false)"),1)</f>
        <v>1</v>
      </c>
      <c r="U65" s="9" t="n">
        <f aca="false">IFERROR(__xludf.dummyfunction("iferror(match(O$1,SPLIT($M65,"",""),0)&gt;0,false)"),1)</f>
        <v>1</v>
      </c>
      <c r="V65" s="9" t="n">
        <f aca="false">IFERROR(__xludf.dummyfunction("iferror(match(O$1,SPLIT($M65,"",""),0)&gt;0,false)"),1)</f>
        <v>1</v>
      </c>
      <c r="W65" s="9" t="n">
        <f aca="false">IFERROR(__xludf.dummyfunction("iferror(match(O$1,SPLIT($M65,"",""),0)&gt;0,false)"),1)</f>
        <v>1</v>
      </c>
      <c r="X65" s="9" t="n">
        <f aca="false">IFERROR(__xludf.dummyfunction("iferror(match(O$1,SPLIT($M65,"",""),0)&gt;0,false)"),1)</f>
        <v>1</v>
      </c>
      <c r="Y65" s="9" t="n">
        <f aca="false">IFERROR(__xludf.dummyfunction("iferror(match(O$1,SPLIT($M65,"",""),0)&gt;0,false)"),1)</f>
        <v>1</v>
      </c>
      <c r="Z65" s="9" t="n">
        <f aca="false">IFERROR(__xludf.dummyfunction("iferror(match(O$1,SPLIT($M65,"",""),0)&gt;0,false)"),1)</f>
        <v>1</v>
      </c>
      <c r="AA65" s="9" t="n">
        <f aca="false">IFERROR(__xludf.dummyfunction("iferror(match(O$1,SPLIT($M65,"",""),0)&gt;0,false)"),1)</f>
        <v>1</v>
      </c>
      <c r="AB65" s="9" t="n">
        <f aca="false">IFERROR(__xludf.dummyfunction("iferror(match(O$1,SPLIT($M65,"",""),0)&gt;0,false)"),1)</f>
        <v>1</v>
      </c>
      <c r="AC65" s="4" t="s">
        <v>98</v>
      </c>
    </row>
    <row r="66" customFormat="false" ht="22" hidden="false" customHeight="false" outlineLevel="0" collapsed="false">
      <c r="A66" s="4" t="n">
        <v>10025</v>
      </c>
      <c r="B66" s="4" t="s">
        <v>145</v>
      </c>
      <c r="C66" s="5" t="s">
        <v>146</v>
      </c>
      <c r="D66" s="6" t="n">
        <v>10</v>
      </c>
      <c r="E66" s="6" t="n">
        <v>4900</v>
      </c>
      <c r="F66" s="7" t="n">
        <f aca="false">IFERROR(__xludf.dummyfunction("COUNT(FILTER(Ingredientes!A:A,Ingredientes!A:A=A66))"),6)</f>
        <v>6</v>
      </c>
      <c r="G66" s="7" t="n">
        <f aca="false">IFERROR(__xludf.dummyfunction("COUNT(FILTER(Ingredientes!A:A,Ingredientes!C:C=A66))"),0)</f>
        <v>0</v>
      </c>
      <c r="H66" s="7" t="n">
        <v>1</v>
      </c>
      <c r="I66" s="4" t="n">
        <v>1</v>
      </c>
      <c r="J66" s="4" t="s">
        <v>28</v>
      </c>
      <c r="K66" s="7" t="n">
        <v>1</v>
      </c>
      <c r="L66" s="7" t="n">
        <v>20</v>
      </c>
      <c r="M66" s="8" t="str">
        <f aca="false">IFERROR(__xludf.dummyfunction("JOIN("","", iferror(filter('Asignación'!C:C,'Asignación'!A:A=A66),{1,2,3,4,5,6,7,8,9,10,11,12,13,14}))"),"1,2,3,4,5,6,7,8,9,10,11,12,13,14")</f>
        <v>1,2,3,4,5,6,7,8,9,10,11,12,13,14</v>
      </c>
      <c r="N66" s="4" t="n">
        <f aca="false">IFERROR(__xludf.dummyfunction("countunique(iferror(filter('Asignación'!C:C,'Asignación'!A:A=A66),{1,2,3,4,5,6,7,8,9,10,11,12,13,14}))"),14)</f>
        <v>14</v>
      </c>
      <c r="O66" s="9" t="n">
        <f aca="false">IFERROR(__xludf.dummyfunction("iferror(match(O$1,SPLIT($M66,"",""),0)&gt;0,false)"),1)</f>
        <v>1</v>
      </c>
      <c r="P66" s="9" t="n">
        <f aca="false">IFERROR(__xludf.dummyfunction("iferror(match(O$1,SPLIT($M66,"",""),0)&gt;0,false)"),1)</f>
        <v>1</v>
      </c>
      <c r="Q66" s="9" t="n">
        <f aca="false">IFERROR(__xludf.dummyfunction("iferror(match(O$1,SPLIT($M66,"",""),0)&gt;0,false)"),1)</f>
        <v>1</v>
      </c>
      <c r="R66" s="9" t="n">
        <f aca="false">IFERROR(__xludf.dummyfunction("iferror(match(O$1,SPLIT($M66,"",""),0)&gt;0,false)"),1)</f>
        <v>1</v>
      </c>
      <c r="S66" s="9" t="n">
        <f aca="false">IFERROR(__xludf.dummyfunction("iferror(match(O$1,SPLIT($M66,"",""),0)&gt;0,false)"),1)</f>
        <v>1</v>
      </c>
      <c r="T66" s="9" t="n">
        <f aca="false">IFERROR(__xludf.dummyfunction("iferror(match(O$1,SPLIT($M66,"",""),0)&gt;0,false)"),1)</f>
        <v>1</v>
      </c>
      <c r="U66" s="9" t="n">
        <f aca="false">IFERROR(__xludf.dummyfunction("iferror(match(O$1,SPLIT($M66,"",""),0)&gt;0,false)"),1)</f>
        <v>1</v>
      </c>
      <c r="V66" s="9" t="n">
        <f aca="false">IFERROR(__xludf.dummyfunction("iferror(match(O$1,SPLIT($M66,"",""),0)&gt;0,false)"),1)</f>
        <v>1</v>
      </c>
      <c r="W66" s="9" t="n">
        <f aca="false">IFERROR(__xludf.dummyfunction("iferror(match(O$1,SPLIT($M66,"",""),0)&gt;0,false)"),1)</f>
        <v>1</v>
      </c>
      <c r="X66" s="9" t="n">
        <f aca="false">IFERROR(__xludf.dummyfunction("iferror(match(O$1,SPLIT($M66,"",""),0)&gt;0,false)"),1)</f>
        <v>1</v>
      </c>
      <c r="Y66" s="9" t="n">
        <f aca="false">IFERROR(__xludf.dummyfunction("iferror(match(O$1,SPLIT($M66,"",""),0)&gt;0,false)"),1)</f>
        <v>1</v>
      </c>
      <c r="Z66" s="9" t="n">
        <f aca="false">IFERROR(__xludf.dummyfunction("iferror(match(O$1,SPLIT($M66,"",""),0)&gt;0,false)"),1)</f>
        <v>1</v>
      </c>
      <c r="AA66" s="9" t="n">
        <f aca="false">IFERROR(__xludf.dummyfunction("iferror(match(O$1,SPLIT($M66,"",""),0)&gt;0,false)"),1)</f>
        <v>1</v>
      </c>
      <c r="AB66" s="9" t="n">
        <f aca="false">IFERROR(__xludf.dummyfunction("iferror(match(O$1,SPLIT($M66,"",""),0)&gt;0,false)"),1)</f>
        <v>1</v>
      </c>
      <c r="AC66" s="4" t="s">
        <v>98</v>
      </c>
    </row>
    <row r="67" customFormat="false" ht="22" hidden="false" customHeight="false" outlineLevel="0" collapsed="false">
      <c r="A67" s="4" t="n">
        <v>20001</v>
      </c>
      <c r="B67" s="4" t="s">
        <v>147</v>
      </c>
      <c r="C67" s="5" t="s">
        <v>148</v>
      </c>
      <c r="D67" s="6" t="n">
        <v>10</v>
      </c>
      <c r="E67" s="6" t="n">
        <v>2700</v>
      </c>
      <c r="F67" s="7" t="n">
        <f aca="false">IFERROR(__xludf.dummyfunction("COUNT(FILTER(Ingredientes!A:A,Ingredientes!A:A=A67))"),5)</f>
        <v>5</v>
      </c>
      <c r="G67" s="7" t="n">
        <f aca="false">IFERROR(__xludf.dummyfunction("COUNT(FILTER(Ingredientes!A:A,Ingredientes!C:C=A67))"),0)</f>
        <v>0</v>
      </c>
      <c r="H67" s="7" t="n">
        <v>1</v>
      </c>
      <c r="I67" s="4" t="n">
        <v>1</v>
      </c>
      <c r="J67" s="4" t="s">
        <v>28</v>
      </c>
      <c r="K67" s="7" t="n">
        <v>1</v>
      </c>
      <c r="L67" s="7" t="n">
        <v>10</v>
      </c>
      <c r="M67" s="8" t="str">
        <f aca="false">IFERROR(__xludf.dummyfunction("JOIN("","", iferror(filter('Asignación'!C:C,'Asignación'!A:A=A67),{1,2,3,4,5,6,7,8,9,10,11,12,13,14}))"),"1,2,3,4,5,6,7,8,9,10,11,12,13,14")</f>
        <v>1,2,3,4,5,6,7,8,9,10,11,12,13,14</v>
      </c>
      <c r="N67" s="4" t="n">
        <f aca="false">IFERROR(__xludf.dummyfunction("countunique(iferror(filter('Asignación'!C:C,'Asignación'!A:A=A67),{1,2,3,4,5,6,7,8,9,10,11,12,13,14}))"),14)</f>
        <v>14</v>
      </c>
      <c r="O67" s="9" t="n">
        <f aca="false">IFERROR(__xludf.dummyfunction("iferror(match(O$1,SPLIT($M67,"",""),0)&gt;0,false)"),1)</f>
        <v>1</v>
      </c>
      <c r="P67" s="9" t="n">
        <f aca="false">IFERROR(__xludf.dummyfunction("iferror(match(O$1,SPLIT($M67,"",""),0)&gt;0,false)"),1)</f>
        <v>1</v>
      </c>
      <c r="Q67" s="9" t="n">
        <f aca="false">IFERROR(__xludf.dummyfunction("iferror(match(O$1,SPLIT($M67,"",""),0)&gt;0,false)"),1)</f>
        <v>1</v>
      </c>
      <c r="R67" s="9" t="n">
        <f aca="false">IFERROR(__xludf.dummyfunction("iferror(match(O$1,SPLIT($M67,"",""),0)&gt;0,false)"),1)</f>
        <v>1</v>
      </c>
      <c r="S67" s="9" t="n">
        <f aca="false">IFERROR(__xludf.dummyfunction("iferror(match(O$1,SPLIT($M67,"",""),0)&gt;0,false)"),1)</f>
        <v>1</v>
      </c>
      <c r="T67" s="9" t="n">
        <f aca="false">IFERROR(__xludf.dummyfunction("iferror(match(O$1,SPLIT($M67,"",""),0)&gt;0,false)"),1)</f>
        <v>1</v>
      </c>
      <c r="U67" s="9" t="n">
        <f aca="false">IFERROR(__xludf.dummyfunction("iferror(match(O$1,SPLIT($M67,"",""),0)&gt;0,false)"),1)</f>
        <v>1</v>
      </c>
      <c r="V67" s="9" t="n">
        <f aca="false">IFERROR(__xludf.dummyfunction("iferror(match(O$1,SPLIT($M67,"",""),0)&gt;0,false)"),1)</f>
        <v>1</v>
      </c>
      <c r="W67" s="9" t="n">
        <f aca="false">IFERROR(__xludf.dummyfunction("iferror(match(O$1,SPLIT($M67,"",""),0)&gt;0,false)"),1)</f>
        <v>1</v>
      </c>
      <c r="X67" s="9" t="n">
        <f aca="false">IFERROR(__xludf.dummyfunction("iferror(match(O$1,SPLIT($M67,"",""),0)&gt;0,false)"),1)</f>
        <v>1</v>
      </c>
      <c r="Y67" s="9" t="n">
        <f aca="false">IFERROR(__xludf.dummyfunction("iferror(match(O$1,SPLIT($M67,"",""),0)&gt;0,false)"),1)</f>
        <v>1</v>
      </c>
      <c r="Z67" s="9" t="n">
        <f aca="false">IFERROR(__xludf.dummyfunction("iferror(match(O$1,SPLIT($M67,"",""),0)&gt;0,false)"),1)</f>
        <v>1</v>
      </c>
      <c r="AA67" s="9" t="n">
        <f aca="false">IFERROR(__xludf.dummyfunction("iferror(match(O$1,SPLIT($M67,"",""),0)&gt;0,false)"),1)</f>
        <v>1</v>
      </c>
      <c r="AB67" s="9" t="n">
        <f aca="false">IFERROR(__xludf.dummyfunction("iferror(match(O$1,SPLIT($M67,"",""),0)&gt;0,false)"),1)</f>
        <v>1</v>
      </c>
      <c r="AC67" s="4" t="s">
        <v>98</v>
      </c>
    </row>
    <row r="68" customFormat="false" ht="22" hidden="false" customHeight="false" outlineLevel="0" collapsed="false">
      <c r="A68" s="4" t="n">
        <v>20002</v>
      </c>
      <c r="B68" s="4" t="s">
        <v>149</v>
      </c>
      <c r="C68" s="5" t="s">
        <v>150</v>
      </c>
      <c r="D68" s="6" t="n">
        <v>10</v>
      </c>
      <c r="E68" s="6" t="n">
        <v>2700</v>
      </c>
      <c r="F68" s="7" t="n">
        <f aca="false">IFERROR(__xludf.dummyfunction("COUNT(FILTER(Ingredientes!A:A,Ingredientes!A:A=A68))"),3)</f>
        <v>3</v>
      </c>
      <c r="G68" s="7" t="n">
        <f aca="false">IFERROR(__xludf.dummyfunction("COUNT(FILTER(Ingredientes!A:A,Ingredientes!C:C=A68))"),0)</f>
        <v>0</v>
      </c>
      <c r="H68" s="7" t="n">
        <v>1</v>
      </c>
      <c r="I68" s="4" t="n">
        <v>1</v>
      </c>
      <c r="J68" s="4" t="s">
        <v>28</v>
      </c>
      <c r="K68" s="7" t="n">
        <v>1</v>
      </c>
      <c r="L68" s="7" t="n">
        <v>10</v>
      </c>
      <c r="M68" s="8" t="str">
        <f aca="false">IFERROR(__xludf.dummyfunction("JOIN("","", iferror(filter('Asignación'!C:C,'Asignación'!A:A=A68),{1,2,3,4,5,6,7,8,9,10,11,12,13,14}))"),"1,2,3,4,5,6,7,8,9,10,11,12,13,14")</f>
        <v>1,2,3,4,5,6,7,8,9,10,11,12,13,14</v>
      </c>
      <c r="N68" s="4" t="n">
        <f aca="false">IFERROR(__xludf.dummyfunction("countunique(iferror(filter('Asignación'!C:C,'Asignación'!A:A=A68),{1,2,3,4,5,6,7,8,9,10,11,12,13,14}))"),14)</f>
        <v>14</v>
      </c>
      <c r="O68" s="9" t="n">
        <f aca="false">IFERROR(__xludf.dummyfunction("iferror(match(O$1,SPLIT($M68,"",""),0)&gt;0,false)"),1)</f>
        <v>1</v>
      </c>
      <c r="P68" s="9" t="n">
        <f aca="false">IFERROR(__xludf.dummyfunction("iferror(match(O$1,SPLIT($M68,"",""),0)&gt;0,false)"),1)</f>
        <v>1</v>
      </c>
      <c r="Q68" s="9" t="n">
        <f aca="false">IFERROR(__xludf.dummyfunction("iferror(match(O$1,SPLIT($M68,"",""),0)&gt;0,false)"),1)</f>
        <v>1</v>
      </c>
      <c r="R68" s="9" t="n">
        <f aca="false">IFERROR(__xludf.dummyfunction("iferror(match(O$1,SPLIT($M68,"",""),0)&gt;0,false)"),1)</f>
        <v>1</v>
      </c>
      <c r="S68" s="9" t="n">
        <f aca="false">IFERROR(__xludf.dummyfunction("iferror(match(O$1,SPLIT($M68,"",""),0)&gt;0,false)"),1)</f>
        <v>1</v>
      </c>
      <c r="T68" s="9" t="n">
        <f aca="false">IFERROR(__xludf.dummyfunction("iferror(match(O$1,SPLIT($M68,"",""),0)&gt;0,false)"),1)</f>
        <v>1</v>
      </c>
      <c r="U68" s="9" t="n">
        <f aca="false">IFERROR(__xludf.dummyfunction("iferror(match(O$1,SPLIT($M68,"",""),0)&gt;0,false)"),1)</f>
        <v>1</v>
      </c>
      <c r="V68" s="9" t="n">
        <f aca="false">IFERROR(__xludf.dummyfunction("iferror(match(O$1,SPLIT($M68,"",""),0)&gt;0,false)"),1)</f>
        <v>1</v>
      </c>
      <c r="W68" s="9" t="n">
        <f aca="false">IFERROR(__xludf.dummyfunction("iferror(match(O$1,SPLIT($M68,"",""),0)&gt;0,false)"),1)</f>
        <v>1</v>
      </c>
      <c r="X68" s="9" t="n">
        <f aca="false">IFERROR(__xludf.dummyfunction("iferror(match(O$1,SPLIT($M68,"",""),0)&gt;0,false)"),1)</f>
        <v>1</v>
      </c>
      <c r="Y68" s="9" t="n">
        <f aca="false">IFERROR(__xludf.dummyfunction("iferror(match(O$1,SPLIT($M68,"",""),0)&gt;0,false)"),1)</f>
        <v>1</v>
      </c>
      <c r="Z68" s="9" t="n">
        <f aca="false">IFERROR(__xludf.dummyfunction("iferror(match(O$1,SPLIT($M68,"",""),0)&gt;0,false)"),1)</f>
        <v>1</v>
      </c>
      <c r="AA68" s="9" t="n">
        <f aca="false">IFERROR(__xludf.dummyfunction("iferror(match(O$1,SPLIT($M68,"",""),0)&gt;0,false)"),1)</f>
        <v>1</v>
      </c>
      <c r="AB68" s="9" t="n">
        <f aca="false">IFERROR(__xludf.dummyfunction("iferror(match(O$1,SPLIT($M68,"",""),0)&gt;0,false)"),1)</f>
        <v>1</v>
      </c>
      <c r="AC68" s="4" t="s">
        <v>98</v>
      </c>
    </row>
    <row r="69" customFormat="false" ht="22" hidden="false" customHeight="false" outlineLevel="0" collapsed="false">
      <c r="A69" s="4" t="n">
        <v>20003</v>
      </c>
      <c r="B69" s="4" t="s">
        <v>151</v>
      </c>
      <c r="C69" s="5" t="s">
        <v>152</v>
      </c>
      <c r="D69" s="6" t="n">
        <v>10</v>
      </c>
      <c r="E69" s="6" t="n">
        <v>2700</v>
      </c>
      <c r="F69" s="7" t="n">
        <f aca="false">IFERROR(__xludf.dummyfunction("COUNT(FILTER(Ingredientes!A:A,Ingredientes!A:A=A69))"),3)</f>
        <v>3</v>
      </c>
      <c r="G69" s="7" t="n">
        <f aca="false">IFERROR(__xludf.dummyfunction("COUNT(FILTER(Ingredientes!A:A,Ingredientes!C:C=A69))"),0)</f>
        <v>0</v>
      </c>
      <c r="H69" s="7" t="n">
        <v>1</v>
      </c>
      <c r="I69" s="4" t="n">
        <v>1</v>
      </c>
      <c r="J69" s="4" t="s">
        <v>28</v>
      </c>
      <c r="K69" s="7" t="n">
        <v>1</v>
      </c>
      <c r="L69" s="7" t="n">
        <v>10</v>
      </c>
      <c r="M69" s="8" t="str">
        <f aca="false">IFERROR(__xludf.dummyfunction("JOIN("","", iferror(filter('Asignación'!C:C,'Asignación'!A:A=A69),{1,2,3,4,5,6,7,8,9,10,11,12,13,14}))"),"1,2,3,4,5,6,7,8,9,10,11,12,13,14")</f>
        <v>1,2,3,4,5,6,7,8,9,10,11,12,13,14</v>
      </c>
      <c r="N69" s="4" t="n">
        <f aca="false">IFERROR(__xludf.dummyfunction("countunique(iferror(filter('Asignación'!C:C,'Asignación'!A:A=A69),{1,2,3,4,5,6,7,8,9,10,11,12,13,14}))"),14)</f>
        <v>14</v>
      </c>
      <c r="O69" s="9" t="n">
        <f aca="false">IFERROR(__xludf.dummyfunction("iferror(match(O$1,SPLIT($M69,"",""),0)&gt;0,false)"),1)</f>
        <v>1</v>
      </c>
      <c r="P69" s="9" t="n">
        <f aca="false">IFERROR(__xludf.dummyfunction("iferror(match(O$1,SPLIT($M69,"",""),0)&gt;0,false)"),1)</f>
        <v>1</v>
      </c>
      <c r="Q69" s="9" t="n">
        <f aca="false">IFERROR(__xludf.dummyfunction("iferror(match(O$1,SPLIT($M69,"",""),0)&gt;0,false)"),1)</f>
        <v>1</v>
      </c>
      <c r="R69" s="9" t="n">
        <f aca="false">IFERROR(__xludf.dummyfunction("iferror(match(O$1,SPLIT($M69,"",""),0)&gt;0,false)"),1)</f>
        <v>1</v>
      </c>
      <c r="S69" s="9" t="n">
        <f aca="false">IFERROR(__xludf.dummyfunction("iferror(match(O$1,SPLIT($M69,"",""),0)&gt;0,false)"),1)</f>
        <v>1</v>
      </c>
      <c r="T69" s="9" t="n">
        <f aca="false">IFERROR(__xludf.dummyfunction("iferror(match(O$1,SPLIT($M69,"",""),0)&gt;0,false)"),1)</f>
        <v>1</v>
      </c>
      <c r="U69" s="9" t="n">
        <f aca="false">IFERROR(__xludf.dummyfunction("iferror(match(O$1,SPLIT($M69,"",""),0)&gt;0,false)"),1)</f>
        <v>1</v>
      </c>
      <c r="V69" s="9" t="n">
        <f aca="false">IFERROR(__xludf.dummyfunction("iferror(match(O$1,SPLIT($M69,"",""),0)&gt;0,false)"),1)</f>
        <v>1</v>
      </c>
      <c r="W69" s="9" t="n">
        <f aca="false">IFERROR(__xludf.dummyfunction("iferror(match(O$1,SPLIT($M69,"",""),0)&gt;0,false)"),1)</f>
        <v>1</v>
      </c>
      <c r="X69" s="9" t="n">
        <f aca="false">IFERROR(__xludf.dummyfunction("iferror(match(O$1,SPLIT($M69,"",""),0)&gt;0,false)"),1)</f>
        <v>1</v>
      </c>
      <c r="Y69" s="9" t="n">
        <f aca="false">IFERROR(__xludf.dummyfunction("iferror(match(O$1,SPLIT($M69,"",""),0)&gt;0,false)"),1)</f>
        <v>1</v>
      </c>
      <c r="Z69" s="9" t="n">
        <f aca="false">IFERROR(__xludf.dummyfunction("iferror(match(O$1,SPLIT($M69,"",""),0)&gt;0,false)"),1)</f>
        <v>1</v>
      </c>
      <c r="AA69" s="9" t="n">
        <f aca="false">IFERROR(__xludf.dummyfunction("iferror(match(O$1,SPLIT($M69,"",""),0)&gt;0,false)"),1)</f>
        <v>1</v>
      </c>
      <c r="AB69" s="9" t="n">
        <f aca="false">IFERROR(__xludf.dummyfunction("iferror(match(O$1,SPLIT($M69,"",""),0)&gt;0,false)"),1)</f>
        <v>1</v>
      </c>
      <c r="AC69" s="4" t="s">
        <v>98</v>
      </c>
    </row>
    <row r="70" customFormat="false" ht="22" hidden="false" customHeight="false" outlineLevel="0" collapsed="false">
      <c r="A70" s="4" t="n">
        <v>20004</v>
      </c>
      <c r="B70" s="4" t="s">
        <v>153</v>
      </c>
      <c r="C70" s="5" t="s">
        <v>154</v>
      </c>
      <c r="D70" s="6" t="n">
        <v>10</v>
      </c>
      <c r="E70" s="6" t="n">
        <v>2700</v>
      </c>
      <c r="F70" s="7" t="n">
        <f aca="false">IFERROR(__xludf.dummyfunction("COUNT(FILTER(Ingredientes!A:A,Ingredientes!A:A=A70))"),3)</f>
        <v>3</v>
      </c>
      <c r="G70" s="7" t="n">
        <f aca="false">IFERROR(__xludf.dummyfunction("COUNT(FILTER(Ingredientes!A:A,Ingredientes!C:C=A70))"),0)</f>
        <v>0</v>
      </c>
      <c r="H70" s="7" t="n">
        <v>1</v>
      </c>
      <c r="I70" s="4" t="n">
        <v>1</v>
      </c>
      <c r="J70" s="4" t="s">
        <v>28</v>
      </c>
      <c r="K70" s="7" t="n">
        <v>1</v>
      </c>
      <c r="L70" s="7" t="n">
        <v>10</v>
      </c>
      <c r="M70" s="8" t="str">
        <f aca="false">IFERROR(__xludf.dummyfunction("JOIN("","", iferror(filter('Asignación'!C:C,'Asignación'!A:A=A70),{1,2,3,4,5,6,7,8,9,10,11,12,13,14}))"),"1,2,3,4,5,6,7,8,9,10,11,12,13,14")</f>
        <v>1,2,3,4,5,6,7,8,9,10,11,12,13,14</v>
      </c>
      <c r="N70" s="4" t="n">
        <f aca="false">IFERROR(__xludf.dummyfunction("countunique(iferror(filter('Asignación'!C:C,'Asignación'!A:A=A70),{1,2,3,4,5,6,7,8,9,10,11,12,13,14}))"),14)</f>
        <v>14</v>
      </c>
      <c r="O70" s="9" t="n">
        <f aca="false">IFERROR(__xludf.dummyfunction("iferror(match(O$1,SPLIT($M70,"",""),0)&gt;0,false)"),1)</f>
        <v>1</v>
      </c>
      <c r="P70" s="9" t="n">
        <f aca="false">IFERROR(__xludf.dummyfunction("iferror(match(O$1,SPLIT($M70,"",""),0)&gt;0,false)"),1)</f>
        <v>1</v>
      </c>
      <c r="Q70" s="9" t="n">
        <f aca="false">IFERROR(__xludf.dummyfunction("iferror(match(O$1,SPLIT($M70,"",""),0)&gt;0,false)"),1)</f>
        <v>1</v>
      </c>
      <c r="R70" s="9" t="n">
        <f aca="false">IFERROR(__xludf.dummyfunction("iferror(match(O$1,SPLIT($M70,"",""),0)&gt;0,false)"),1)</f>
        <v>1</v>
      </c>
      <c r="S70" s="9" t="n">
        <f aca="false">IFERROR(__xludf.dummyfunction("iferror(match(O$1,SPLIT($M70,"",""),0)&gt;0,false)"),1)</f>
        <v>1</v>
      </c>
      <c r="T70" s="9" t="n">
        <f aca="false">IFERROR(__xludf.dummyfunction("iferror(match(O$1,SPLIT($M70,"",""),0)&gt;0,false)"),1)</f>
        <v>1</v>
      </c>
      <c r="U70" s="9" t="n">
        <f aca="false">IFERROR(__xludf.dummyfunction("iferror(match(O$1,SPLIT($M70,"",""),0)&gt;0,false)"),1)</f>
        <v>1</v>
      </c>
      <c r="V70" s="9" t="n">
        <f aca="false">IFERROR(__xludf.dummyfunction("iferror(match(O$1,SPLIT($M70,"",""),0)&gt;0,false)"),1)</f>
        <v>1</v>
      </c>
      <c r="W70" s="9" t="n">
        <f aca="false">IFERROR(__xludf.dummyfunction("iferror(match(O$1,SPLIT($M70,"",""),0)&gt;0,false)"),1)</f>
        <v>1</v>
      </c>
      <c r="X70" s="9" t="n">
        <f aca="false">IFERROR(__xludf.dummyfunction("iferror(match(O$1,SPLIT($M70,"",""),0)&gt;0,false)"),1)</f>
        <v>1</v>
      </c>
      <c r="Y70" s="9" t="n">
        <f aca="false">IFERROR(__xludf.dummyfunction("iferror(match(O$1,SPLIT($M70,"",""),0)&gt;0,false)"),1)</f>
        <v>1</v>
      </c>
      <c r="Z70" s="9" t="n">
        <f aca="false">IFERROR(__xludf.dummyfunction("iferror(match(O$1,SPLIT($M70,"",""),0)&gt;0,false)"),1)</f>
        <v>1</v>
      </c>
      <c r="AA70" s="9" t="n">
        <f aca="false">IFERROR(__xludf.dummyfunction("iferror(match(O$1,SPLIT($M70,"",""),0)&gt;0,false)"),1)</f>
        <v>1</v>
      </c>
      <c r="AB70" s="9" t="n">
        <f aca="false">IFERROR(__xludf.dummyfunction("iferror(match(O$1,SPLIT($M70,"",""),0)&gt;0,false)"),1)</f>
        <v>1</v>
      </c>
      <c r="AC70" s="4" t="s">
        <v>98</v>
      </c>
    </row>
    <row r="71" customFormat="false" ht="22" hidden="false" customHeight="false" outlineLevel="0" collapsed="false">
      <c r="A71" s="4" t="n">
        <v>20005</v>
      </c>
      <c r="B71" s="4" t="s">
        <v>155</v>
      </c>
      <c r="C71" s="5" t="s">
        <v>156</v>
      </c>
      <c r="D71" s="6" t="n">
        <v>10</v>
      </c>
      <c r="E71" s="6" t="n">
        <v>2700</v>
      </c>
      <c r="F71" s="7" t="n">
        <f aca="false">IFERROR(__xludf.dummyfunction("COUNT(FILTER(Ingredientes!A:A,Ingredientes!A:A=A71))"),5)</f>
        <v>5</v>
      </c>
      <c r="G71" s="7" t="n">
        <f aca="false">IFERROR(__xludf.dummyfunction("COUNT(FILTER(Ingredientes!A:A,Ingredientes!C:C=A71))"),0)</f>
        <v>0</v>
      </c>
      <c r="H71" s="7" t="n">
        <v>1</v>
      </c>
      <c r="I71" s="4" t="n">
        <v>1</v>
      </c>
      <c r="J71" s="4" t="s">
        <v>28</v>
      </c>
      <c r="K71" s="7" t="n">
        <v>1</v>
      </c>
      <c r="L71" s="7" t="n">
        <v>20</v>
      </c>
      <c r="M71" s="8" t="str">
        <f aca="false">IFERROR(__xludf.dummyfunction("JOIN("","", iferror(filter('Asignación'!C:C,'Asignación'!A:A=A71),{1,2,3,4,5,6,7,8,9,10,11,12,13,14}))"),"1,2,3,4,5,6,7,8,9,10,11,12,13,14")</f>
        <v>1,2,3,4,5,6,7,8,9,10,11,12,13,14</v>
      </c>
      <c r="N71" s="4" t="n">
        <f aca="false">IFERROR(__xludf.dummyfunction("countunique(iferror(filter('Asignación'!C:C,'Asignación'!A:A=A71),{1,2,3,4,5,6,7,8,9,10,11,12,13,14}))"),14)</f>
        <v>14</v>
      </c>
      <c r="O71" s="9" t="n">
        <f aca="false">IFERROR(__xludf.dummyfunction("iferror(match(O$1,SPLIT($M71,"",""),0)&gt;0,false)"),1)</f>
        <v>1</v>
      </c>
      <c r="P71" s="9" t="n">
        <f aca="false">IFERROR(__xludf.dummyfunction("iferror(match(O$1,SPLIT($M71,"",""),0)&gt;0,false)"),1)</f>
        <v>1</v>
      </c>
      <c r="Q71" s="9" t="n">
        <f aca="false">IFERROR(__xludf.dummyfunction("iferror(match(O$1,SPLIT($M71,"",""),0)&gt;0,false)"),1)</f>
        <v>1</v>
      </c>
      <c r="R71" s="9" t="n">
        <f aca="false">IFERROR(__xludf.dummyfunction("iferror(match(O$1,SPLIT($M71,"",""),0)&gt;0,false)"),1)</f>
        <v>1</v>
      </c>
      <c r="S71" s="9" t="n">
        <f aca="false">IFERROR(__xludf.dummyfunction("iferror(match(O$1,SPLIT($M71,"",""),0)&gt;0,false)"),1)</f>
        <v>1</v>
      </c>
      <c r="T71" s="9" t="n">
        <f aca="false">IFERROR(__xludf.dummyfunction("iferror(match(O$1,SPLIT($M71,"",""),0)&gt;0,false)"),1)</f>
        <v>1</v>
      </c>
      <c r="U71" s="9" t="n">
        <f aca="false">IFERROR(__xludf.dummyfunction("iferror(match(O$1,SPLIT($M71,"",""),0)&gt;0,false)"),1)</f>
        <v>1</v>
      </c>
      <c r="V71" s="9" t="n">
        <f aca="false">IFERROR(__xludf.dummyfunction("iferror(match(O$1,SPLIT($M71,"",""),0)&gt;0,false)"),1)</f>
        <v>1</v>
      </c>
      <c r="W71" s="9" t="n">
        <f aca="false">IFERROR(__xludf.dummyfunction("iferror(match(O$1,SPLIT($M71,"",""),0)&gt;0,false)"),1)</f>
        <v>1</v>
      </c>
      <c r="X71" s="9" t="n">
        <f aca="false">IFERROR(__xludf.dummyfunction("iferror(match(O$1,SPLIT($M71,"",""),0)&gt;0,false)"),1)</f>
        <v>1</v>
      </c>
      <c r="Y71" s="9" t="n">
        <f aca="false">IFERROR(__xludf.dummyfunction("iferror(match(O$1,SPLIT($M71,"",""),0)&gt;0,false)"),1)</f>
        <v>1</v>
      </c>
      <c r="Z71" s="9" t="n">
        <f aca="false">IFERROR(__xludf.dummyfunction("iferror(match(O$1,SPLIT($M71,"",""),0)&gt;0,false)"),1)</f>
        <v>1</v>
      </c>
      <c r="AA71" s="9" t="n">
        <f aca="false">IFERROR(__xludf.dummyfunction("iferror(match(O$1,SPLIT($M71,"",""),0)&gt;0,false)"),1)</f>
        <v>1</v>
      </c>
      <c r="AB71" s="9" t="n">
        <f aca="false">IFERROR(__xludf.dummyfunction("iferror(match(O$1,SPLIT($M71,"",""),0)&gt;0,false)"),1)</f>
        <v>1</v>
      </c>
      <c r="AC71" s="4" t="s">
        <v>98</v>
      </c>
    </row>
    <row r="72" customFormat="false" ht="22" hidden="false" customHeight="false" outlineLevel="0" collapsed="false">
      <c r="A72" s="4" t="n">
        <v>30001</v>
      </c>
      <c r="B72" s="4" t="s">
        <v>157</v>
      </c>
      <c r="C72" s="5" t="s">
        <v>158</v>
      </c>
      <c r="D72" s="6" t="n">
        <v>10</v>
      </c>
      <c r="E72" s="6" t="n">
        <v>7900</v>
      </c>
      <c r="F72" s="7" t="n">
        <f aca="false">IFERROR(__xludf.dummyfunction("COUNT(FILTER(Ingredientes!A:A,Ingredientes!A:A=A72))"),1)</f>
        <v>1</v>
      </c>
      <c r="G72" s="7" t="n">
        <f aca="false">IFERROR(__xludf.dummyfunction("COUNT(FILTER(Ingredientes!A:A,Ingredientes!C:C=A72))"),0)</f>
        <v>0</v>
      </c>
      <c r="H72" s="7" t="n">
        <v>1</v>
      </c>
      <c r="I72" s="4" t="n">
        <v>1</v>
      </c>
      <c r="J72" s="4" t="s">
        <v>28</v>
      </c>
      <c r="K72" s="7" t="n">
        <v>1</v>
      </c>
      <c r="L72" s="7" t="n">
        <v>10</v>
      </c>
      <c r="M72" s="8" t="str">
        <f aca="false">IFERROR(__xludf.dummyfunction("JOIN("","", iferror(filter('Asignación'!C:C,'Asignación'!A:A=A72),{1,2,3,4,5,6,7,8,9,10,11,12,13,14}))"),"1,2,3,4,5,6,7,8,9,10,11,12,13,14")</f>
        <v>1,2,3,4,5,6,7,8,9,10,11,12,13,14</v>
      </c>
      <c r="N72" s="4" t="n">
        <f aca="false">IFERROR(__xludf.dummyfunction("countunique(iferror(filter('Asignación'!C:C,'Asignación'!A:A=A72),{1,2,3,4,5,6,7,8,9,10,11,12,13,14}))"),14)</f>
        <v>14</v>
      </c>
      <c r="O72" s="9" t="n">
        <f aca="false">IFERROR(__xludf.dummyfunction("iferror(match(O$1,SPLIT($M72,"",""),0)&gt;0,false)"),1)</f>
        <v>1</v>
      </c>
      <c r="P72" s="9" t="n">
        <f aca="false">IFERROR(__xludf.dummyfunction("iferror(match(O$1,SPLIT($M72,"",""),0)&gt;0,false)"),1)</f>
        <v>1</v>
      </c>
      <c r="Q72" s="9" t="n">
        <f aca="false">IFERROR(__xludf.dummyfunction("iferror(match(O$1,SPLIT($M72,"",""),0)&gt;0,false)"),1)</f>
        <v>1</v>
      </c>
      <c r="R72" s="9" t="n">
        <f aca="false">IFERROR(__xludf.dummyfunction("iferror(match(O$1,SPLIT($M72,"",""),0)&gt;0,false)"),1)</f>
        <v>1</v>
      </c>
      <c r="S72" s="9" t="n">
        <f aca="false">IFERROR(__xludf.dummyfunction("iferror(match(O$1,SPLIT($M72,"",""),0)&gt;0,false)"),1)</f>
        <v>1</v>
      </c>
      <c r="T72" s="9" t="n">
        <f aca="false">IFERROR(__xludf.dummyfunction("iferror(match(O$1,SPLIT($M72,"",""),0)&gt;0,false)"),1)</f>
        <v>1</v>
      </c>
      <c r="U72" s="9" t="n">
        <f aca="false">IFERROR(__xludf.dummyfunction("iferror(match(O$1,SPLIT($M72,"",""),0)&gt;0,false)"),1)</f>
        <v>1</v>
      </c>
      <c r="V72" s="9" t="n">
        <f aca="false">IFERROR(__xludf.dummyfunction("iferror(match(O$1,SPLIT($M72,"",""),0)&gt;0,false)"),1)</f>
        <v>1</v>
      </c>
      <c r="W72" s="9" t="n">
        <f aca="false">IFERROR(__xludf.dummyfunction("iferror(match(O$1,SPLIT($M72,"",""),0)&gt;0,false)"),1)</f>
        <v>1</v>
      </c>
      <c r="X72" s="9" t="n">
        <f aca="false">IFERROR(__xludf.dummyfunction("iferror(match(O$1,SPLIT($M72,"",""),0)&gt;0,false)"),1)</f>
        <v>1</v>
      </c>
      <c r="Y72" s="9" t="n">
        <f aca="false">IFERROR(__xludf.dummyfunction("iferror(match(O$1,SPLIT($M72,"",""),0)&gt;0,false)"),1)</f>
        <v>1</v>
      </c>
      <c r="Z72" s="9" t="n">
        <f aca="false">IFERROR(__xludf.dummyfunction("iferror(match(O$1,SPLIT($M72,"",""),0)&gt;0,false)"),1)</f>
        <v>1</v>
      </c>
      <c r="AA72" s="9" t="n">
        <f aca="false">IFERROR(__xludf.dummyfunction("iferror(match(O$1,SPLIT($M72,"",""),0)&gt;0,false)"),1)</f>
        <v>1</v>
      </c>
      <c r="AB72" s="9" t="n">
        <f aca="false">IFERROR(__xludf.dummyfunction("iferror(match(O$1,SPLIT($M72,"",""),0)&gt;0,false)"),1)</f>
        <v>1</v>
      </c>
      <c r="AC72" s="4" t="s">
        <v>98</v>
      </c>
    </row>
    <row r="73" customFormat="false" ht="22" hidden="false" customHeight="false" outlineLevel="0" collapsed="false">
      <c r="A73" s="4" t="n">
        <v>30002</v>
      </c>
      <c r="B73" s="4" t="s">
        <v>159</v>
      </c>
      <c r="C73" s="5" t="s">
        <v>160</v>
      </c>
      <c r="D73" s="6" t="n">
        <v>10</v>
      </c>
      <c r="E73" s="6" t="n">
        <v>9900</v>
      </c>
      <c r="F73" s="7" t="n">
        <f aca="false">IFERROR(__xludf.dummyfunction("COUNT(FILTER(Ingredientes!A:A,Ingredientes!A:A=A73))"),1)</f>
        <v>1</v>
      </c>
      <c r="G73" s="7" t="n">
        <f aca="false">IFERROR(__xludf.dummyfunction("COUNT(FILTER(Ingredientes!A:A,Ingredientes!C:C=A73))"),0)</f>
        <v>0</v>
      </c>
      <c r="H73" s="7" t="n">
        <v>1</v>
      </c>
      <c r="I73" s="4" t="n">
        <v>1</v>
      </c>
      <c r="J73" s="4" t="s">
        <v>28</v>
      </c>
      <c r="K73" s="7" t="n">
        <v>1</v>
      </c>
      <c r="L73" s="7" t="n">
        <v>10</v>
      </c>
      <c r="M73" s="8" t="str">
        <f aca="false">IFERROR(__xludf.dummyfunction("JOIN("","", iferror(filter('Asignación'!C:C,'Asignación'!A:A=A73),{1,2,3,4,5,6,7,8,9,10,11,12,13,14}))"),"1,2,3,4,5,6,7,8,9,10,11,12,13,14")</f>
        <v>1,2,3,4,5,6,7,8,9,10,11,12,13,14</v>
      </c>
      <c r="N73" s="4" t="n">
        <f aca="false">IFERROR(__xludf.dummyfunction("countunique(iferror(filter('Asignación'!C:C,'Asignación'!A:A=A73),{1,2,3,4,5,6,7,8,9,10,11,12,13,14}))"),14)</f>
        <v>14</v>
      </c>
      <c r="O73" s="9" t="n">
        <f aca="false">IFERROR(__xludf.dummyfunction("iferror(match(O$1,SPLIT($M73,"",""),0)&gt;0,false)"),1)</f>
        <v>1</v>
      </c>
      <c r="P73" s="9" t="n">
        <f aca="false">IFERROR(__xludf.dummyfunction("iferror(match(O$1,SPLIT($M73,"",""),0)&gt;0,false)"),1)</f>
        <v>1</v>
      </c>
      <c r="Q73" s="9" t="n">
        <f aca="false">IFERROR(__xludf.dummyfunction("iferror(match(O$1,SPLIT($M73,"",""),0)&gt;0,false)"),1)</f>
        <v>1</v>
      </c>
      <c r="R73" s="9" t="n">
        <f aca="false">IFERROR(__xludf.dummyfunction("iferror(match(O$1,SPLIT($M73,"",""),0)&gt;0,false)"),1)</f>
        <v>1</v>
      </c>
      <c r="S73" s="9" t="n">
        <f aca="false">IFERROR(__xludf.dummyfunction("iferror(match(O$1,SPLIT($M73,"",""),0)&gt;0,false)"),1)</f>
        <v>1</v>
      </c>
      <c r="T73" s="9" t="n">
        <f aca="false">IFERROR(__xludf.dummyfunction("iferror(match(O$1,SPLIT($M73,"",""),0)&gt;0,false)"),1)</f>
        <v>1</v>
      </c>
      <c r="U73" s="9" t="n">
        <f aca="false">IFERROR(__xludf.dummyfunction("iferror(match(O$1,SPLIT($M73,"",""),0)&gt;0,false)"),1)</f>
        <v>1</v>
      </c>
      <c r="V73" s="9" t="n">
        <f aca="false">IFERROR(__xludf.dummyfunction("iferror(match(O$1,SPLIT($M73,"",""),0)&gt;0,false)"),1)</f>
        <v>1</v>
      </c>
      <c r="W73" s="9" t="n">
        <f aca="false">IFERROR(__xludf.dummyfunction("iferror(match(O$1,SPLIT($M73,"",""),0)&gt;0,false)"),1)</f>
        <v>1</v>
      </c>
      <c r="X73" s="9" t="n">
        <f aca="false">IFERROR(__xludf.dummyfunction("iferror(match(O$1,SPLIT($M73,"",""),0)&gt;0,false)"),1)</f>
        <v>1</v>
      </c>
      <c r="Y73" s="9" t="n">
        <f aca="false">IFERROR(__xludf.dummyfunction("iferror(match(O$1,SPLIT($M73,"",""),0)&gt;0,false)"),1)</f>
        <v>1</v>
      </c>
      <c r="Z73" s="9" t="n">
        <f aca="false">IFERROR(__xludf.dummyfunction("iferror(match(O$1,SPLIT($M73,"",""),0)&gt;0,false)"),1)</f>
        <v>1</v>
      </c>
      <c r="AA73" s="9" t="n">
        <f aca="false">IFERROR(__xludf.dummyfunction("iferror(match(O$1,SPLIT($M73,"",""),0)&gt;0,false)"),1)</f>
        <v>1</v>
      </c>
      <c r="AB73" s="9" t="n">
        <f aca="false">IFERROR(__xludf.dummyfunction("iferror(match(O$1,SPLIT($M73,"",""),0)&gt;0,false)"),1)</f>
        <v>1</v>
      </c>
      <c r="AC73" s="4" t="s">
        <v>98</v>
      </c>
    </row>
    <row r="74" customFormat="false" ht="22" hidden="false" customHeight="false" outlineLevel="0" collapsed="false">
      <c r="A74" s="4" t="n">
        <v>30003</v>
      </c>
      <c r="B74" s="4" t="s">
        <v>161</v>
      </c>
      <c r="C74" s="5" t="s">
        <v>162</v>
      </c>
      <c r="D74" s="6" t="n">
        <v>10</v>
      </c>
      <c r="E74" s="6" t="n">
        <v>12500</v>
      </c>
      <c r="F74" s="7" t="n">
        <f aca="false">IFERROR(__xludf.dummyfunction("COUNT(FILTER(Ingredientes!A:A,Ingredientes!A:A=A74))"),1)</f>
        <v>1</v>
      </c>
      <c r="G74" s="7" t="n">
        <f aca="false">IFERROR(__xludf.dummyfunction("COUNT(FILTER(Ingredientes!A:A,Ingredientes!C:C=A74))"),0)</f>
        <v>0</v>
      </c>
      <c r="H74" s="7" t="n">
        <v>1</v>
      </c>
      <c r="I74" s="4" t="n">
        <v>1</v>
      </c>
      <c r="J74" s="4" t="s">
        <v>28</v>
      </c>
      <c r="K74" s="7" t="n">
        <v>1</v>
      </c>
      <c r="L74" s="7" t="n">
        <v>10</v>
      </c>
      <c r="M74" s="8" t="str">
        <f aca="false">IFERROR(__xludf.dummyfunction("JOIN("","", iferror(filter('Asignación'!C:C,'Asignación'!A:A=A74),{1,2,3,4,5,6,7,8,9,10,11,12,13,14}))"),"1,2,3,4,5,6,7,8,9,10,11,12,13,14")</f>
        <v>1,2,3,4,5,6,7,8,9,10,11,12,13,14</v>
      </c>
      <c r="N74" s="4" t="n">
        <f aca="false">IFERROR(__xludf.dummyfunction("countunique(iferror(filter('Asignación'!C:C,'Asignación'!A:A=A74),{1,2,3,4,5,6,7,8,9,10,11,12,13,14}))"),14)</f>
        <v>14</v>
      </c>
      <c r="O74" s="9" t="n">
        <f aca="false">IFERROR(__xludf.dummyfunction("iferror(match(O$1,SPLIT($M74,"",""),0)&gt;0,false)"),1)</f>
        <v>1</v>
      </c>
      <c r="P74" s="9" t="n">
        <f aca="false">IFERROR(__xludf.dummyfunction("iferror(match(O$1,SPLIT($M74,"",""),0)&gt;0,false)"),1)</f>
        <v>1</v>
      </c>
      <c r="Q74" s="9" t="n">
        <f aca="false">IFERROR(__xludf.dummyfunction("iferror(match(O$1,SPLIT($M74,"",""),0)&gt;0,false)"),1)</f>
        <v>1</v>
      </c>
      <c r="R74" s="9" t="n">
        <f aca="false">IFERROR(__xludf.dummyfunction("iferror(match(O$1,SPLIT($M74,"",""),0)&gt;0,false)"),1)</f>
        <v>1</v>
      </c>
      <c r="S74" s="9" t="n">
        <f aca="false">IFERROR(__xludf.dummyfunction("iferror(match(O$1,SPLIT($M74,"",""),0)&gt;0,false)"),1)</f>
        <v>1</v>
      </c>
      <c r="T74" s="9" t="n">
        <f aca="false">IFERROR(__xludf.dummyfunction("iferror(match(O$1,SPLIT($M74,"",""),0)&gt;0,false)"),1)</f>
        <v>1</v>
      </c>
      <c r="U74" s="9" t="n">
        <f aca="false">IFERROR(__xludf.dummyfunction("iferror(match(O$1,SPLIT($M74,"",""),0)&gt;0,false)"),1)</f>
        <v>1</v>
      </c>
      <c r="V74" s="9" t="n">
        <f aca="false">IFERROR(__xludf.dummyfunction("iferror(match(O$1,SPLIT($M74,"",""),0)&gt;0,false)"),1)</f>
        <v>1</v>
      </c>
      <c r="W74" s="9" t="n">
        <f aca="false">IFERROR(__xludf.dummyfunction("iferror(match(O$1,SPLIT($M74,"",""),0)&gt;0,false)"),1)</f>
        <v>1</v>
      </c>
      <c r="X74" s="9" t="n">
        <f aca="false">IFERROR(__xludf.dummyfunction("iferror(match(O$1,SPLIT($M74,"",""),0)&gt;0,false)"),1)</f>
        <v>1</v>
      </c>
      <c r="Y74" s="9" t="n">
        <f aca="false">IFERROR(__xludf.dummyfunction("iferror(match(O$1,SPLIT($M74,"",""),0)&gt;0,false)"),1)</f>
        <v>1</v>
      </c>
      <c r="Z74" s="9" t="n">
        <f aca="false">IFERROR(__xludf.dummyfunction("iferror(match(O$1,SPLIT($M74,"",""),0)&gt;0,false)"),1)</f>
        <v>1</v>
      </c>
      <c r="AA74" s="9" t="n">
        <f aca="false">IFERROR(__xludf.dummyfunction("iferror(match(O$1,SPLIT($M74,"",""),0)&gt;0,false)"),1)</f>
        <v>1</v>
      </c>
      <c r="AB74" s="9" t="n">
        <f aca="false">IFERROR(__xludf.dummyfunction("iferror(match(O$1,SPLIT($M74,"",""),0)&gt;0,false)"),1)</f>
        <v>1</v>
      </c>
      <c r="AC74" s="4" t="s">
        <v>98</v>
      </c>
    </row>
    <row r="75" customFormat="false" ht="22" hidden="false" customHeight="false" outlineLevel="0" collapsed="false">
      <c r="A75" s="4" t="n">
        <v>30004</v>
      </c>
      <c r="B75" s="4" t="s">
        <v>163</v>
      </c>
      <c r="C75" s="5" t="s">
        <v>164</v>
      </c>
      <c r="D75" s="6" t="n">
        <v>10</v>
      </c>
      <c r="E75" s="6" t="n">
        <v>7900</v>
      </c>
      <c r="F75" s="7" t="n">
        <f aca="false">IFERROR(__xludf.dummyfunction("COUNT(FILTER(Ingredientes!A:A,Ingredientes!A:A=A75))"),1)</f>
        <v>1</v>
      </c>
      <c r="G75" s="7" t="n">
        <f aca="false">IFERROR(__xludf.dummyfunction("COUNT(FILTER(Ingredientes!A:A,Ingredientes!C:C=A75))"),0)</f>
        <v>0</v>
      </c>
      <c r="H75" s="7" t="n">
        <v>1</v>
      </c>
      <c r="I75" s="4" t="n">
        <v>1</v>
      </c>
      <c r="J75" s="4" t="s">
        <v>28</v>
      </c>
      <c r="K75" s="7" t="n">
        <v>1</v>
      </c>
      <c r="L75" s="7" t="n">
        <v>10</v>
      </c>
      <c r="M75" s="8" t="str">
        <f aca="false">IFERROR(__xludf.dummyfunction("JOIN("","", iferror(filter('Asignación'!C:C,'Asignación'!A:A=A75),{1,2,3,4,5,6,7,8,9,10,11,12,13,14}))"),"1,2,3,4,5,6,7,8,9,10,11,12,13,14")</f>
        <v>1,2,3,4,5,6,7,8,9,10,11,12,13,14</v>
      </c>
      <c r="N75" s="4" t="n">
        <f aca="false">IFERROR(__xludf.dummyfunction("countunique(iferror(filter('Asignación'!C:C,'Asignación'!A:A=A75),{1,2,3,4,5,6,7,8,9,10,11,12,13,14}))"),14)</f>
        <v>14</v>
      </c>
      <c r="O75" s="9" t="n">
        <f aca="false">IFERROR(__xludf.dummyfunction("iferror(match(O$1,SPLIT($M75,"",""),0)&gt;0,false)"),1)</f>
        <v>1</v>
      </c>
      <c r="P75" s="9" t="n">
        <f aca="false">IFERROR(__xludf.dummyfunction("iferror(match(O$1,SPLIT($M75,"",""),0)&gt;0,false)"),1)</f>
        <v>1</v>
      </c>
      <c r="Q75" s="9" t="n">
        <f aca="false">IFERROR(__xludf.dummyfunction("iferror(match(O$1,SPLIT($M75,"",""),0)&gt;0,false)"),1)</f>
        <v>1</v>
      </c>
      <c r="R75" s="9" t="n">
        <f aca="false">IFERROR(__xludf.dummyfunction("iferror(match(O$1,SPLIT($M75,"",""),0)&gt;0,false)"),1)</f>
        <v>1</v>
      </c>
      <c r="S75" s="9" t="n">
        <f aca="false">IFERROR(__xludf.dummyfunction("iferror(match(O$1,SPLIT($M75,"",""),0)&gt;0,false)"),1)</f>
        <v>1</v>
      </c>
      <c r="T75" s="9" t="n">
        <f aca="false">IFERROR(__xludf.dummyfunction("iferror(match(O$1,SPLIT($M75,"",""),0)&gt;0,false)"),1)</f>
        <v>1</v>
      </c>
      <c r="U75" s="9" t="n">
        <f aca="false">IFERROR(__xludf.dummyfunction("iferror(match(O$1,SPLIT($M75,"",""),0)&gt;0,false)"),1)</f>
        <v>1</v>
      </c>
      <c r="V75" s="9" t="n">
        <f aca="false">IFERROR(__xludf.dummyfunction("iferror(match(O$1,SPLIT($M75,"",""),0)&gt;0,false)"),1)</f>
        <v>1</v>
      </c>
      <c r="W75" s="9" t="n">
        <f aca="false">IFERROR(__xludf.dummyfunction("iferror(match(O$1,SPLIT($M75,"",""),0)&gt;0,false)"),1)</f>
        <v>1</v>
      </c>
      <c r="X75" s="9" t="n">
        <f aca="false">IFERROR(__xludf.dummyfunction("iferror(match(O$1,SPLIT($M75,"",""),0)&gt;0,false)"),1)</f>
        <v>1</v>
      </c>
      <c r="Y75" s="9" t="n">
        <f aca="false">IFERROR(__xludf.dummyfunction("iferror(match(O$1,SPLIT($M75,"",""),0)&gt;0,false)"),1)</f>
        <v>1</v>
      </c>
      <c r="Z75" s="9" t="n">
        <f aca="false">IFERROR(__xludf.dummyfunction("iferror(match(O$1,SPLIT($M75,"",""),0)&gt;0,false)"),1)</f>
        <v>1</v>
      </c>
      <c r="AA75" s="9" t="n">
        <f aca="false">IFERROR(__xludf.dummyfunction("iferror(match(O$1,SPLIT($M75,"",""),0)&gt;0,false)"),1)</f>
        <v>1</v>
      </c>
      <c r="AB75" s="9" t="n">
        <f aca="false">IFERROR(__xludf.dummyfunction("iferror(match(O$1,SPLIT($M75,"",""),0)&gt;0,false)"),1)</f>
        <v>1</v>
      </c>
      <c r="AC75" s="4" t="s">
        <v>98</v>
      </c>
    </row>
    <row r="76" customFormat="false" ht="22" hidden="false" customHeight="false" outlineLevel="0" collapsed="false">
      <c r="A76" s="4" t="n">
        <v>30005</v>
      </c>
      <c r="B76" s="4" t="s">
        <v>165</v>
      </c>
      <c r="C76" s="5" t="s">
        <v>166</v>
      </c>
      <c r="D76" s="6" t="n">
        <v>10</v>
      </c>
      <c r="E76" s="6" t="n">
        <v>9900</v>
      </c>
      <c r="F76" s="7" t="n">
        <f aca="false">IFERROR(__xludf.dummyfunction("COUNT(FILTER(Ingredientes!A:A,Ingredientes!A:A=A76))"),1)</f>
        <v>1</v>
      </c>
      <c r="G76" s="7" t="n">
        <f aca="false">IFERROR(__xludf.dummyfunction("COUNT(FILTER(Ingredientes!A:A,Ingredientes!C:C=A76))"),0)</f>
        <v>0</v>
      </c>
      <c r="H76" s="7" t="n">
        <v>1</v>
      </c>
      <c r="I76" s="4" t="n">
        <v>1</v>
      </c>
      <c r="J76" s="4" t="s">
        <v>28</v>
      </c>
      <c r="K76" s="7" t="n">
        <v>1</v>
      </c>
      <c r="L76" s="7" t="n">
        <v>10</v>
      </c>
      <c r="M76" s="8" t="str">
        <f aca="false">IFERROR(__xludf.dummyfunction("JOIN("","", iferror(filter('Asignación'!C:C,'Asignación'!A:A=A76),{1,2,3,4,5,6,7,8,9,10,11,12,13,14}))"),"1,2,3,4,5,6,7,8,9,10,11,12,13,14")</f>
        <v>1,2,3,4,5,6,7,8,9,10,11,12,13,14</v>
      </c>
      <c r="N76" s="4" t="n">
        <f aca="false">IFERROR(__xludf.dummyfunction("countunique(iferror(filter('Asignación'!C:C,'Asignación'!A:A=A76),{1,2,3,4,5,6,7,8,9,10,11,12,13,14}))"),14)</f>
        <v>14</v>
      </c>
      <c r="O76" s="9" t="n">
        <f aca="false">IFERROR(__xludf.dummyfunction("iferror(match(O$1,SPLIT($M76,"",""),0)&gt;0,false)"),1)</f>
        <v>1</v>
      </c>
      <c r="P76" s="9" t="n">
        <f aca="false">IFERROR(__xludf.dummyfunction("iferror(match(O$1,SPLIT($M76,"",""),0)&gt;0,false)"),1)</f>
        <v>1</v>
      </c>
      <c r="Q76" s="9" t="n">
        <f aca="false">IFERROR(__xludf.dummyfunction("iferror(match(O$1,SPLIT($M76,"",""),0)&gt;0,false)"),1)</f>
        <v>1</v>
      </c>
      <c r="R76" s="9" t="n">
        <f aca="false">IFERROR(__xludf.dummyfunction("iferror(match(O$1,SPLIT($M76,"",""),0)&gt;0,false)"),1)</f>
        <v>1</v>
      </c>
      <c r="S76" s="9" t="n">
        <f aca="false">IFERROR(__xludf.dummyfunction("iferror(match(O$1,SPLIT($M76,"",""),0)&gt;0,false)"),1)</f>
        <v>1</v>
      </c>
      <c r="T76" s="9" t="n">
        <f aca="false">IFERROR(__xludf.dummyfunction("iferror(match(O$1,SPLIT($M76,"",""),0)&gt;0,false)"),1)</f>
        <v>1</v>
      </c>
      <c r="U76" s="9" t="n">
        <f aca="false">IFERROR(__xludf.dummyfunction("iferror(match(O$1,SPLIT($M76,"",""),0)&gt;0,false)"),1)</f>
        <v>1</v>
      </c>
      <c r="V76" s="9" t="n">
        <f aca="false">IFERROR(__xludf.dummyfunction("iferror(match(O$1,SPLIT($M76,"",""),0)&gt;0,false)"),1)</f>
        <v>1</v>
      </c>
      <c r="W76" s="9" t="n">
        <f aca="false">IFERROR(__xludf.dummyfunction("iferror(match(O$1,SPLIT($M76,"",""),0)&gt;0,false)"),1)</f>
        <v>1</v>
      </c>
      <c r="X76" s="9" t="n">
        <f aca="false">IFERROR(__xludf.dummyfunction("iferror(match(O$1,SPLIT($M76,"",""),0)&gt;0,false)"),1)</f>
        <v>1</v>
      </c>
      <c r="Y76" s="9" t="n">
        <f aca="false">IFERROR(__xludf.dummyfunction("iferror(match(O$1,SPLIT($M76,"",""),0)&gt;0,false)"),1)</f>
        <v>1</v>
      </c>
      <c r="Z76" s="9" t="n">
        <f aca="false">IFERROR(__xludf.dummyfunction("iferror(match(O$1,SPLIT($M76,"",""),0)&gt;0,false)"),1)</f>
        <v>1</v>
      </c>
      <c r="AA76" s="9" t="n">
        <f aca="false">IFERROR(__xludf.dummyfunction("iferror(match(O$1,SPLIT($M76,"",""),0)&gt;0,false)"),1)</f>
        <v>1</v>
      </c>
      <c r="AB76" s="9" t="n">
        <f aca="false">IFERROR(__xludf.dummyfunction("iferror(match(O$1,SPLIT($M76,"",""),0)&gt;0,false)"),1)</f>
        <v>1</v>
      </c>
      <c r="AC76" s="4" t="s">
        <v>98</v>
      </c>
    </row>
    <row r="77" customFormat="false" ht="22" hidden="false" customHeight="false" outlineLevel="0" collapsed="false">
      <c r="A77" s="4" t="n">
        <v>30006</v>
      </c>
      <c r="B77" s="4" t="s">
        <v>167</v>
      </c>
      <c r="C77" s="5" t="s">
        <v>168</v>
      </c>
      <c r="D77" s="6" t="n">
        <v>10</v>
      </c>
      <c r="E77" s="6" t="n">
        <v>12500</v>
      </c>
      <c r="F77" s="7" t="n">
        <f aca="false">IFERROR(__xludf.dummyfunction("COUNT(FILTER(Ingredientes!A:A,Ingredientes!A:A=A77))"),1)</f>
        <v>1</v>
      </c>
      <c r="G77" s="7" t="n">
        <f aca="false">IFERROR(__xludf.dummyfunction("COUNT(FILTER(Ingredientes!A:A,Ingredientes!C:C=A77))"),0)</f>
        <v>0</v>
      </c>
      <c r="H77" s="7" t="n">
        <v>1</v>
      </c>
      <c r="I77" s="4" t="n">
        <v>1</v>
      </c>
      <c r="J77" s="4" t="s">
        <v>28</v>
      </c>
      <c r="K77" s="7" t="n">
        <v>1</v>
      </c>
      <c r="L77" s="7" t="n">
        <v>10</v>
      </c>
      <c r="M77" s="8" t="str">
        <f aca="false">IFERROR(__xludf.dummyfunction("JOIN("","", iferror(filter('Asignación'!C:C,'Asignación'!A:A=A77),{1,2,3,4,5,6,7,8,9,10,11,12,13,14}))"),"1,2,3,4,5,6,7,8,9,10,11,12,13,14")</f>
        <v>1,2,3,4,5,6,7,8,9,10,11,12,13,14</v>
      </c>
      <c r="N77" s="4" t="n">
        <f aca="false">IFERROR(__xludf.dummyfunction("countunique(iferror(filter('Asignación'!C:C,'Asignación'!A:A=A77),{1,2,3,4,5,6,7,8,9,10,11,12,13,14}))"),14)</f>
        <v>14</v>
      </c>
      <c r="O77" s="9" t="n">
        <f aca="false">IFERROR(__xludf.dummyfunction("iferror(match(O$1,SPLIT($M77,"",""),0)&gt;0,false)"),1)</f>
        <v>1</v>
      </c>
      <c r="P77" s="9" t="n">
        <f aca="false">IFERROR(__xludf.dummyfunction("iferror(match(O$1,SPLIT($M77,"",""),0)&gt;0,false)"),1)</f>
        <v>1</v>
      </c>
      <c r="Q77" s="9" t="n">
        <f aca="false">IFERROR(__xludf.dummyfunction("iferror(match(O$1,SPLIT($M77,"",""),0)&gt;0,false)"),1)</f>
        <v>1</v>
      </c>
      <c r="R77" s="9" t="n">
        <f aca="false">IFERROR(__xludf.dummyfunction("iferror(match(O$1,SPLIT($M77,"",""),0)&gt;0,false)"),1)</f>
        <v>1</v>
      </c>
      <c r="S77" s="9" t="n">
        <f aca="false">IFERROR(__xludf.dummyfunction("iferror(match(O$1,SPLIT($M77,"",""),0)&gt;0,false)"),1)</f>
        <v>1</v>
      </c>
      <c r="T77" s="9" t="n">
        <f aca="false">IFERROR(__xludf.dummyfunction("iferror(match(O$1,SPLIT($M77,"",""),0)&gt;0,false)"),1)</f>
        <v>1</v>
      </c>
      <c r="U77" s="9" t="n">
        <f aca="false">IFERROR(__xludf.dummyfunction("iferror(match(O$1,SPLIT($M77,"",""),0)&gt;0,false)"),1)</f>
        <v>1</v>
      </c>
      <c r="V77" s="9" t="n">
        <f aca="false">IFERROR(__xludf.dummyfunction("iferror(match(O$1,SPLIT($M77,"",""),0)&gt;0,false)"),1)</f>
        <v>1</v>
      </c>
      <c r="W77" s="9" t="n">
        <f aca="false">IFERROR(__xludf.dummyfunction("iferror(match(O$1,SPLIT($M77,"",""),0)&gt;0,false)"),1)</f>
        <v>1</v>
      </c>
      <c r="X77" s="9" t="n">
        <f aca="false">IFERROR(__xludf.dummyfunction("iferror(match(O$1,SPLIT($M77,"",""),0)&gt;0,false)"),1)</f>
        <v>1</v>
      </c>
      <c r="Y77" s="9" t="n">
        <f aca="false">IFERROR(__xludf.dummyfunction("iferror(match(O$1,SPLIT($M77,"",""),0)&gt;0,false)"),1)</f>
        <v>1</v>
      </c>
      <c r="Z77" s="9" t="n">
        <f aca="false">IFERROR(__xludf.dummyfunction("iferror(match(O$1,SPLIT($M77,"",""),0)&gt;0,false)"),1)</f>
        <v>1</v>
      </c>
      <c r="AA77" s="9" t="n">
        <f aca="false">IFERROR(__xludf.dummyfunction("iferror(match(O$1,SPLIT($M77,"",""),0)&gt;0,false)"),1)</f>
        <v>1</v>
      </c>
      <c r="AB77" s="9" t="n">
        <f aca="false">IFERROR(__xludf.dummyfunction("iferror(match(O$1,SPLIT($M77,"",""),0)&gt;0,false)"),1)</f>
        <v>1</v>
      </c>
      <c r="AC77" s="4" t="s">
        <v>98</v>
      </c>
    </row>
    <row r="78" customFormat="false" ht="22" hidden="false" customHeight="false" outlineLevel="0" collapsed="false">
      <c r="A78" s="4" t="n">
        <v>30007</v>
      </c>
      <c r="B78" s="4" t="s">
        <v>169</v>
      </c>
      <c r="C78" s="5" t="s">
        <v>170</v>
      </c>
      <c r="D78" s="6" t="n">
        <v>10</v>
      </c>
      <c r="E78" s="6" t="n">
        <v>9900</v>
      </c>
      <c r="F78" s="7" t="n">
        <f aca="false">IFERROR(__xludf.dummyfunction("COUNT(FILTER(Ingredientes!A:A,Ingredientes!A:A=A78))"),2)</f>
        <v>2</v>
      </c>
      <c r="G78" s="7" t="n">
        <f aca="false">IFERROR(__xludf.dummyfunction("COUNT(FILTER(Ingredientes!A:A,Ingredientes!C:C=A78))"),0)</f>
        <v>0</v>
      </c>
      <c r="H78" s="7" t="n">
        <v>1</v>
      </c>
      <c r="I78" s="4" t="n">
        <v>1</v>
      </c>
      <c r="J78" s="4" t="s">
        <v>28</v>
      </c>
      <c r="K78" s="7" t="n">
        <v>1</v>
      </c>
      <c r="L78" s="7" t="n">
        <v>10</v>
      </c>
      <c r="M78" s="8" t="str">
        <f aca="false">IFERROR(__xludf.dummyfunction("JOIN("","", iferror(filter('Asignación'!C:C,'Asignación'!A:A=A78),{1,2,3,4,5,6,7,8,9,10,11,12,13,14}))"),"1,2,3,4,5,6,7,8,9,10,11,12,13,14")</f>
        <v>1,2,3,4,5,6,7,8,9,10,11,12,13,14</v>
      </c>
      <c r="N78" s="4" t="n">
        <f aca="false">IFERROR(__xludf.dummyfunction("countunique(iferror(filter('Asignación'!C:C,'Asignación'!A:A=A78),{1,2,3,4,5,6,7,8,9,10,11,12,13,14}))"),14)</f>
        <v>14</v>
      </c>
      <c r="O78" s="9" t="n">
        <f aca="false">IFERROR(__xludf.dummyfunction("iferror(match(O$1,SPLIT($M78,"",""),0)&gt;0,false)"),1)</f>
        <v>1</v>
      </c>
      <c r="P78" s="9" t="n">
        <f aca="false">IFERROR(__xludf.dummyfunction("iferror(match(O$1,SPLIT($M78,"",""),0)&gt;0,false)"),1)</f>
        <v>1</v>
      </c>
      <c r="Q78" s="9" t="n">
        <f aca="false">IFERROR(__xludf.dummyfunction("iferror(match(O$1,SPLIT($M78,"",""),0)&gt;0,false)"),1)</f>
        <v>1</v>
      </c>
      <c r="R78" s="9" t="n">
        <f aca="false">IFERROR(__xludf.dummyfunction("iferror(match(O$1,SPLIT($M78,"",""),0)&gt;0,false)"),1)</f>
        <v>1</v>
      </c>
      <c r="S78" s="9" t="n">
        <f aca="false">IFERROR(__xludf.dummyfunction("iferror(match(O$1,SPLIT($M78,"",""),0)&gt;0,false)"),1)</f>
        <v>1</v>
      </c>
      <c r="T78" s="9" t="n">
        <f aca="false">IFERROR(__xludf.dummyfunction("iferror(match(O$1,SPLIT($M78,"",""),0)&gt;0,false)"),1)</f>
        <v>1</v>
      </c>
      <c r="U78" s="9" t="n">
        <f aca="false">IFERROR(__xludf.dummyfunction("iferror(match(O$1,SPLIT($M78,"",""),0)&gt;0,false)"),1)</f>
        <v>1</v>
      </c>
      <c r="V78" s="9" t="n">
        <f aca="false">IFERROR(__xludf.dummyfunction("iferror(match(O$1,SPLIT($M78,"",""),0)&gt;0,false)"),1)</f>
        <v>1</v>
      </c>
      <c r="W78" s="9" t="n">
        <f aca="false">IFERROR(__xludf.dummyfunction("iferror(match(O$1,SPLIT($M78,"",""),0)&gt;0,false)"),1)</f>
        <v>1</v>
      </c>
      <c r="X78" s="9" t="n">
        <f aca="false">IFERROR(__xludf.dummyfunction("iferror(match(O$1,SPLIT($M78,"",""),0)&gt;0,false)"),1)</f>
        <v>1</v>
      </c>
      <c r="Y78" s="9" t="n">
        <f aca="false">IFERROR(__xludf.dummyfunction("iferror(match(O$1,SPLIT($M78,"",""),0)&gt;0,false)"),1)</f>
        <v>1</v>
      </c>
      <c r="Z78" s="9" t="n">
        <f aca="false">IFERROR(__xludf.dummyfunction("iferror(match(O$1,SPLIT($M78,"",""),0)&gt;0,false)"),1)</f>
        <v>1</v>
      </c>
      <c r="AA78" s="9" t="n">
        <f aca="false">IFERROR(__xludf.dummyfunction("iferror(match(O$1,SPLIT($M78,"",""),0)&gt;0,false)"),1)</f>
        <v>1</v>
      </c>
      <c r="AB78" s="9" t="n">
        <f aca="false">IFERROR(__xludf.dummyfunction("iferror(match(O$1,SPLIT($M78,"",""),0)&gt;0,false)"),1)</f>
        <v>1</v>
      </c>
      <c r="AC78" s="4" t="s">
        <v>98</v>
      </c>
    </row>
    <row r="79" customFormat="false" ht="22" hidden="false" customHeight="false" outlineLevel="0" collapsed="false">
      <c r="A79" s="4" t="n">
        <v>30008</v>
      </c>
      <c r="B79" s="4" t="s">
        <v>171</v>
      </c>
      <c r="C79" s="5" t="s">
        <v>172</v>
      </c>
      <c r="D79" s="6" t="n">
        <v>10</v>
      </c>
      <c r="E79" s="6" t="n">
        <v>15990</v>
      </c>
      <c r="F79" s="7" t="n">
        <f aca="false">IFERROR(__xludf.dummyfunction("COUNT(FILTER(Ingredientes!A:A,Ingredientes!A:A=A79))"),2)</f>
        <v>2</v>
      </c>
      <c r="G79" s="7" t="n">
        <f aca="false">IFERROR(__xludf.dummyfunction("COUNT(FILTER(Ingredientes!A:A,Ingredientes!C:C=A79))"),0)</f>
        <v>0</v>
      </c>
      <c r="H79" s="7" t="n">
        <v>1</v>
      </c>
      <c r="I79" s="4" t="n">
        <v>1</v>
      </c>
      <c r="J79" s="4" t="s">
        <v>28</v>
      </c>
      <c r="K79" s="7" t="n">
        <v>1</v>
      </c>
      <c r="L79" s="7" t="n">
        <v>10</v>
      </c>
      <c r="M79" s="8" t="str">
        <f aca="false">IFERROR(__xludf.dummyfunction("JOIN("","", iferror(filter('Asignación'!C:C,'Asignación'!A:A=A79),{1,2,3,4,5,6,7,8,9,10,11,12,13,14}))"),"1,2,3,4,5,6,7,8,9,10,11,12,13,14")</f>
        <v>1,2,3,4,5,6,7,8,9,10,11,12,13,14</v>
      </c>
      <c r="N79" s="4" t="n">
        <f aca="false">IFERROR(__xludf.dummyfunction("countunique(iferror(filter('Asignación'!C:C,'Asignación'!A:A=A79),{1,2,3,4,5,6,7,8,9,10,11,12,13,14}))"),14)</f>
        <v>14</v>
      </c>
      <c r="O79" s="9" t="n">
        <f aca="false">IFERROR(__xludf.dummyfunction("iferror(match(O$1,SPLIT($M79,"",""),0)&gt;0,false)"),1)</f>
        <v>1</v>
      </c>
      <c r="P79" s="9" t="n">
        <f aca="false">IFERROR(__xludf.dummyfunction("iferror(match(O$1,SPLIT($M79,"",""),0)&gt;0,false)"),1)</f>
        <v>1</v>
      </c>
      <c r="Q79" s="9" t="n">
        <f aca="false">IFERROR(__xludf.dummyfunction("iferror(match(O$1,SPLIT($M79,"",""),0)&gt;0,false)"),1)</f>
        <v>1</v>
      </c>
      <c r="R79" s="9" t="n">
        <f aca="false">IFERROR(__xludf.dummyfunction("iferror(match(O$1,SPLIT($M79,"",""),0)&gt;0,false)"),1)</f>
        <v>1</v>
      </c>
      <c r="S79" s="9" t="n">
        <f aca="false">IFERROR(__xludf.dummyfunction("iferror(match(O$1,SPLIT($M79,"",""),0)&gt;0,false)"),1)</f>
        <v>1</v>
      </c>
      <c r="T79" s="9" t="n">
        <f aca="false">IFERROR(__xludf.dummyfunction("iferror(match(O$1,SPLIT($M79,"",""),0)&gt;0,false)"),1)</f>
        <v>1</v>
      </c>
      <c r="U79" s="9" t="n">
        <f aca="false">IFERROR(__xludf.dummyfunction("iferror(match(O$1,SPLIT($M79,"",""),0)&gt;0,false)"),1)</f>
        <v>1</v>
      </c>
      <c r="V79" s="9" t="n">
        <f aca="false">IFERROR(__xludf.dummyfunction("iferror(match(O$1,SPLIT($M79,"",""),0)&gt;0,false)"),1)</f>
        <v>1</v>
      </c>
      <c r="W79" s="9" t="n">
        <f aca="false">IFERROR(__xludf.dummyfunction("iferror(match(O$1,SPLIT($M79,"",""),0)&gt;0,false)"),1)</f>
        <v>1</v>
      </c>
      <c r="X79" s="9" t="n">
        <f aca="false">IFERROR(__xludf.dummyfunction("iferror(match(O$1,SPLIT($M79,"",""),0)&gt;0,false)"),1)</f>
        <v>1</v>
      </c>
      <c r="Y79" s="9" t="n">
        <f aca="false">IFERROR(__xludf.dummyfunction("iferror(match(O$1,SPLIT($M79,"",""),0)&gt;0,false)"),1)</f>
        <v>1</v>
      </c>
      <c r="Z79" s="9" t="n">
        <f aca="false">IFERROR(__xludf.dummyfunction("iferror(match(O$1,SPLIT($M79,"",""),0)&gt;0,false)"),1)</f>
        <v>1</v>
      </c>
      <c r="AA79" s="9" t="n">
        <f aca="false">IFERROR(__xludf.dummyfunction("iferror(match(O$1,SPLIT($M79,"",""),0)&gt;0,false)"),1)</f>
        <v>1</v>
      </c>
      <c r="AB79" s="9" t="n">
        <f aca="false">IFERROR(__xludf.dummyfunction("iferror(match(O$1,SPLIT($M79,"",""),0)&gt;0,false)"),1)</f>
        <v>1</v>
      </c>
      <c r="AC79" s="4" t="s">
        <v>98</v>
      </c>
    </row>
    <row r="80" customFormat="false" ht="13" hidden="false" customHeight="false" outlineLevel="0" collapsed="false"/>
    <row r="81" customFormat="false" ht="13" hidden="false" customHeight="false" outlineLevel="0" collapsed="false"/>
    <row r="82" customFormat="false" ht="13" hidden="false" customHeight="false" outlineLevel="0" collapsed="false"/>
    <row r="83" customFormat="false" ht="13" hidden="false" customHeight="false" outlineLevel="0" collapsed="false"/>
    <row r="84" customFormat="false" ht="13" hidden="false" customHeight="false" outlineLevel="0" collapsed="false"/>
    <row r="85" customFormat="false" ht="13" hidden="false" customHeight="false" outlineLevel="0" collapsed="false"/>
    <row r="86" customFormat="false" ht="13" hidden="false" customHeight="false" outlineLevel="0" collapsed="false"/>
    <row r="87" customFormat="false" ht="13" hidden="false" customHeight="false" outlineLevel="0" collapsed="false"/>
    <row r="88" customFormat="false" ht="13" hidden="false" customHeight="false" outlineLevel="0" collapsed="false"/>
    <row r="89" customFormat="false" ht="13" hidden="false" customHeight="false" outlineLevel="0" collapsed="false"/>
    <row r="90" customFormat="false" ht="13" hidden="false" customHeight="false" outlineLevel="0" collapsed="false"/>
    <row r="91" customFormat="false" ht="13" hidden="false" customHeight="false" outlineLevel="0" collapsed="false"/>
    <row r="92" customFormat="false" ht="13" hidden="false" customHeight="false" outlineLevel="0" collapsed="false"/>
    <row r="93" customFormat="false" ht="13" hidden="false" customHeight="false" outlineLevel="0" collapsed="false"/>
    <row r="94" customFormat="false" ht="13" hidden="false" customHeight="false" outlineLevel="0" collapsed="false"/>
    <row r="95" customFormat="false" ht="13" hidden="false" customHeight="false" outlineLevel="0" collapsed="false"/>
    <row r="96" customFormat="false" ht="13" hidden="false" customHeight="false" outlineLevel="0" collapsed="false"/>
    <row r="97" customFormat="false" ht="13" hidden="false" customHeight="false" outlineLevel="0" collapsed="false"/>
    <row r="98" customFormat="false" ht="13" hidden="false" customHeight="false" outlineLevel="0" collapsed="false"/>
    <row r="99" customFormat="false" ht="13" hidden="false" customHeight="false" outlineLevel="0" collapsed="false"/>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row r="1001" customFormat="false" ht="13" hidden="false" customHeight="false" outlineLevel="0" collapsed="false"/>
    <row r="1002" customFormat="false" ht="13" hidden="false" customHeight="false" outlineLevel="0" collapsed="false"/>
  </sheetData>
  <autoFilter ref="A1:AC7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93"/>
  <sheetViews>
    <sheetView showFormulas="false" showGridLines="true" showRowColHeaders="true" showZeros="true" rightToLeft="false" tabSelected="false" showOutlineSymbols="true" defaultGridColor="true" view="normal" topLeftCell="A178" colorId="64" zoomScale="100" zoomScaleNormal="100" zoomScalePageLayoutView="100" workbookViewId="0">
      <selection pane="topLeft" activeCell="J1" activeCellId="0" sqref="J1"/>
    </sheetView>
  </sheetViews>
  <sheetFormatPr defaultRowHeight="15.75" zeroHeight="false" outlineLevelRow="0" outlineLevelCol="0"/>
  <cols>
    <col collapsed="false" customWidth="true" hidden="false" outlineLevel="0" max="1" min="1" style="0" width="12.5"/>
    <col collapsed="false" customWidth="true" hidden="false" outlineLevel="0" max="2" min="2" style="0" width="22.83"/>
    <col collapsed="false" customWidth="true" hidden="false" outlineLevel="0" max="3" min="3" style="0" width="13.66"/>
    <col collapsed="false" customWidth="true" hidden="false" outlineLevel="0" max="4" min="4" style="0" width="21.5"/>
    <col collapsed="false" customWidth="true" hidden="false" outlineLevel="0" max="5" min="5" style="0" width="11.84"/>
    <col collapsed="false" customWidth="true" hidden="false" outlineLevel="0" max="6" min="6" style="0" width="10.16"/>
    <col collapsed="false" customWidth="true" hidden="false" outlineLevel="0" max="7" min="7" style="0" width="14.5"/>
    <col collapsed="false" customWidth="true" hidden="false" outlineLevel="0" max="8" min="8" style="0" width="16.83"/>
    <col collapsed="false" customWidth="true" hidden="false" outlineLevel="0" max="9" min="9" style="0" width="10.5"/>
    <col collapsed="false" customWidth="true" hidden="false" outlineLevel="0" max="10" min="10" style="0" width="11.99"/>
    <col collapsed="false" customWidth="true" hidden="false" outlineLevel="0" max="1025" min="11" style="0" width="14.5"/>
  </cols>
  <sheetData>
    <row r="1" customFormat="false" ht="15.75" hidden="false" customHeight="true" outlineLevel="0" collapsed="false">
      <c r="A1" s="10" t="s">
        <v>173</v>
      </c>
      <c r="B1" s="10" t="s">
        <v>174</v>
      </c>
      <c r="C1" s="10" t="s">
        <v>175</v>
      </c>
      <c r="D1" s="10" t="s">
        <v>176</v>
      </c>
      <c r="E1" s="10" t="s">
        <v>177</v>
      </c>
      <c r="F1" s="10" t="s">
        <v>9</v>
      </c>
      <c r="G1" s="10" t="s">
        <v>10</v>
      </c>
      <c r="H1" s="10" t="s">
        <v>178</v>
      </c>
      <c r="I1" s="10" t="s">
        <v>9</v>
      </c>
      <c r="J1" s="11" t="s">
        <v>179</v>
      </c>
      <c r="K1" s="10"/>
      <c r="L1" s="10"/>
      <c r="M1" s="10"/>
      <c r="N1" s="10"/>
      <c r="O1" s="10"/>
      <c r="P1" s="10"/>
      <c r="Q1" s="10"/>
      <c r="R1" s="10"/>
      <c r="S1" s="10"/>
      <c r="T1" s="10"/>
      <c r="U1" s="10"/>
      <c r="V1" s="10"/>
      <c r="W1" s="10"/>
      <c r="X1" s="10"/>
      <c r="Y1" s="10"/>
      <c r="Z1" s="10"/>
      <c r="AA1" s="10"/>
    </row>
    <row r="2" customFormat="false" ht="15.75" hidden="false" customHeight="true" outlineLevel="0" collapsed="false">
      <c r="A2" s="4" t="n">
        <v>1101</v>
      </c>
      <c r="B2" s="4" t="str">
        <f aca="false" t="array" ref="B2:B2">INDEX(Productos!$A:B,MATCH($A2,Productos!$A:$A),COLUMN(B2))</f>
        <v>Arroz cocido</v>
      </c>
      <c r="C2" s="12" t="n">
        <v>1001</v>
      </c>
      <c r="D2" s="4" t="str">
        <f aca="false" t="array" ref="D2:D2">INDEX(Productos!$A:B,MATCH($C2,Productos!$A:$A),2)</f>
        <v>Arroz grano corto</v>
      </c>
      <c r="E2" s="12" t="n">
        <v>0.8</v>
      </c>
      <c r="F2" s="12" t="s">
        <v>17</v>
      </c>
      <c r="G2" s="13" t="n">
        <f aca="false">IFERROR(__xludf.dummyfunction("filter(Productos!K:K,A2=Productos!A:A)"),10)</f>
        <v>10</v>
      </c>
      <c r="H2" s="4" t="n">
        <f aca="false">G2*E2</f>
        <v>8</v>
      </c>
      <c r="I2" s="4" t="str">
        <f aca="false">F2</f>
        <v>Kg</v>
      </c>
      <c r="J2" s="14" t="n">
        <f aca="false">IFERROR(__xludf.dummyfunction("roundup(H2/filter(Productos!I:I,Productos!A:A=C2),1)"),8)</f>
        <v>8</v>
      </c>
      <c r="K2" s="4"/>
      <c r="L2" s="4"/>
      <c r="M2" s="4"/>
      <c r="N2" s="13"/>
      <c r="O2" s="13"/>
      <c r="P2" s="13"/>
      <c r="Q2" s="13"/>
      <c r="R2" s="13"/>
      <c r="S2" s="13"/>
      <c r="T2" s="13"/>
      <c r="U2" s="13"/>
      <c r="V2" s="13"/>
      <c r="W2" s="13"/>
      <c r="X2" s="13"/>
      <c r="Y2" s="13"/>
      <c r="Z2" s="13"/>
      <c r="AA2" s="13"/>
    </row>
    <row r="3" customFormat="false" ht="15.75" hidden="false" customHeight="true" outlineLevel="0" collapsed="false">
      <c r="A3" s="4" t="n">
        <v>1101</v>
      </c>
      <c r="B3" s="4" t="str">
        <f aca="false" t="array" ref="B3:B3">INDEX(Productos!$A:B,MATCH($A3,Productos!$A:$A),COLUMN(B3))</f>
        <v>Arroz cocido</v>
      </c>
      <c r="C3" s="12" t="n">
        <v>1003</v>
      </c>
      <c r="D3" s="4" t="str">
        <f aca="false" t="array" ref="D3:D3">INDEX(Productos!$A:B,MATCH($C3,Productos!$A:$A),2)</f>
        <v>Azúcar</v>
      </c>
      <c r="E3" s="12" t="n">
        <v>0.03</v>
      </c>
      <c r="F3" s="12" t="s">
        <v>17</v>
      </c>
      <c r="G3" s="13" t="n">
        <f aca="false">IFERROR(__xludf.dummyfunction("filter(Productos!K:K,A3=Productos!A:A)"),10)</f>
        <v>10</v>
      </c>
      <c r="H3" s="4" t="n">
        <f aca="false">G3*E3</f>
        <v>0.3</v>
      </c>
      <c r="I3" s="4" t="str">
        <f aca="false">F3</f>
        <v>Kg</v>
      </c>
      <c r="J3" s="14" t="n">
        <f aca="false">IFERROR(__xludf.dummyfunction("roundup(H3/filter(Productos!I:I,Productos!A:A=C3),1)"),3)</f>
        <v>3</v>
      </c>
      <c r="K3" s="4"/>
      <c r="L3" s="4"/>
      <c r="M3" s="4"/>
      <c r="N3" s="13"/>
      <c r="O3" s="13"/>
      <c r="P3" s="13"/>
      <c r="Q3" s="13"/>
      <c r="R3" s="13"/>
      <c r="S3" s="13"/>
      <c r="T3" s="13"/>
      <c r="U3" s="13"/>
      <c r="V3" s="13"/>
      <c r="W3" s="13"/>
      <c r="X3" s="13"/>
      <c r="Y3" s="13"/>
      <c r="Z3" s="13"/>
      <c r="AA3" s="13"/>
    </row>
    <row r="4" customFormat="false" ht="15.75" hidden="false" customHeight="true" outlineLevel="0" collapsed="false">
      <c r="A4" s="4" t="n">
        <v>1101</v>
      </c>
      <c r="B4" s="4" t="str">
        <f aca="false" t="array" ref="B4:B4">INDEX(Productos!$A:B,MATCH($A4,Productos!$A:$A),COLUMN(B4))</f>
        <v>Arroz cocido</v>
      </c>
      <c r="C4" s="12" t="n">
        <v>1004</v>
      </c>
      <c r="D4" s="4" t="str">
        <f aca="false" t="array" ref="D4:D4">INDEX(Productos!$A:B,MATCH($C4,Productos!$A:$A),2)</f>
        <v>Sal</v>
      </c>
      <c r="E4" s="12" t="n">
        <v>0.02</v>
      </c>
      <c r="F4" s="12" t="s">
        <v>17</v>
      </c>
      <c r="G4" s="13" t="n">
        <f aca="false">IFERROR(__xludf.dummyfunction("filter(Productos!K:K,A4=Productos!A:A)"),10)</f>
        <v>10</v>
      </c>
      <c r="H4" s="4" t="n">
        <f aca="false">G4*E4</f>
        <v>0.2</v>
      </c>
      <c r="I4" s="4" t="str">
        <f aca="false">F4</f>
        <v>Kg</v>
      </c>
      <c r="J4" s="14" t="n">
        <f aca="false">IFERROR(__xludf.dummyfunction("roundup(H4/filter(Productos!I:I,Productos!A:A=C4),1)"),2)</f>
        <v>2</v>
      </c>
      <c r="K4" s="4"/>
      <c r="L4" s="4"/>
      <c r="M4" s="4"/>
      <c r="N4" s="13"/>
      <c r="O4" s="13"/>
      <c r="P4" s="13"/>
      <c r="Q4" s="13"/>
      <c r="R4" s="13"/>
      <c r="S4" s="13"/>
      <c r="T4" s="13"/>
      <c r="U4" s="13"/>
      <c r="V4" s="13"/>
      <c r="W4" s="13"/>
      <c r="X4" s="13"/>
      <c r="Y4" s="13"/>
      <c r="Z4" s="13"/>
      <c r="AA4" s="13"/>
    </row>
    <row r="5" customFormat="false" ht="15.75" hidden="false" customHeight="true" outlineLevel="0" collapsed="false">
      <c r="A5" s="4" t="n">
        <v>1101</v>
      </c>
      <c r="B5" s="4" t="str">
        <f aca="false" t="array" ref="B5:B5">INDEX(Productos!$A:B,MATCH($A5,Productos!$A:$A),COLUMN(B5))</f>
        <v>Arroz cocido</v>
      </c>
      <c r="C5" s="12" t="n">
        <v>1002</v>
      </c>
      <c r="D5" s="4" t="str">
        <f aca="false" t="array" ref="D5:D5">INDEX(Productos!$A:B,MATCH($C5,Productos!$A:$A),2)</f>
        <v>Vinagre de arroz</v>
      </c>
      <c r="E5" s="12" t="n">
        <v>0.4</v>
      </c>
      <c r="F5" s="12" t="s">
        <v>20</v>
      </c>
      <c r="G5" s="13" t="n">
        <f aca="false">IFERROR(__xludf.dummyfunction("filter(Productos!K:K,A5=Productos!A:A)"),10)</f>
        <v>10</v>
      </c>
      <c r="H5" s="4" t="n">
        <f aca="false">G5*E5</f>
        <v>4</v>
      </c>
      <c r="I5" s="4" t="str">
        <f aca="false">F5</f>
        <v>Lt</v>
      </c>
      <c r="J5" s="14" t="n">
        <f aca="false">IFERROR(__xludf.dummyfunction("roundup(H5/filter(Productos!I:I,Productos!A:A=C5),1)"),4)</f>
        <v>4</v>
      </c>
      <c r="K5" s="4"/>
      <c r="L5" s="4"/>
      <c r="M5" s="4"/>
      <c r="N5" s="13"/>
      <c r="O5" s="13"/>
      <c r="P5" s="13"/>
      <c r="Q5" s="13"/>
      <c r="R5" s="13"/>
      <c r="S5" s="13"/>
      <c r="T5" s="13"/>
      <c r="U5" s="13"/>
      <c r="V5" s="13"/>
      <c r="W5" s="13"/>
      <c r="X5" s="13"/>
      <c r="Y5" s="13"/>
      <c r="Z5" s="13"/>
      <c r="AA5" s="13"/>
    </row>
    <row r="6" customFormat="false" ht="15.75" hidden="false" customHeight="true" outlineLevel="0" collapsed="false">
      <c r="A6" s="13" t="n">
        <v>1105</v>
      </c>
      <c r="B6" s="4" t="str">
        <f aca="false" t="array" ref="B6:B6">INDEX(Productos!$A:B,MATCH($A6,Productos!$A:$A),COLUMN(B6))</f>
        <v>Kanikama para roll</v>
      </c>
      <c r="C6" s="12" t="n">
        <v>1005</v>
      </c>
      <c r="D6" s="4" t="str">
        <f aca="false" t="array" ref="D6:D6">INDEX(Productos!$A:B,MATCH($C6,Productos!$A:$A),2)</f>
        <v>Kanikama entero</v>
      </c>
      <c r="E6" s="12" t="n">
        <v>0.1</v>
      </c>
      <c r="F6" s="12" t="s">
        <v>17</v>
      </c>
      <c r="G6" s="13" t="n">
        <f aca="false">IFERROR(__xludf.dummyfunction("filter(Productos!K:K,A6=Productos!A:A)"),10)</f>
        <v>10</v>
      </c>
      <c r="H6" s="4" t="n">
        <f aca="false">G6*E6</f>
        <v>1</v>
      </c>
      <c r="I6" s="4" t="str">
        <f aca="false">F6</f>
        <v>Kg</v>
      </c>
      <c r="J6" s="14" t="n">
        <f aca="false">IFERROR(__xludf.dummyfunction("roundup(H6/filter(Productos!I:I,Productos!A:A=C6),1)"),1)</f>
        <v>1</v>
      </c>
      <c r="K6" s="4"/>
      <c r="L6" s="13"/>
      <c r="M6" s="4"/>
      <c r="N6" s="13"/>
      <c r="O6" s="13"/>
      <c r="P6" s="13"/>
      <c r="Q6" s="13"/>
      <c r="R6" s="13"/>
      <c r="S6" s="13"/>
      <c r="T6" s="13"/>
      <c r="U6" s="13"/>
      <c r="V6" s="13"/>
      <c r="W6" s="13"/>
      <c r="X6" s="13"/>
      <c r="Y6" s="13"/>
      <c r="Z6" s="13"/>
      <c r="AA6" s="13"/>
    </row>
    <row r="7" customFormat="false" ht="15.75" hidden="false" customHeight="true" outlineLevel="0" collapsed="false">
      <c r="A7" s="13" t="n">
        <v>1106</v>
      </c>
      <c r="B7" s="4" t="str">
        <f aca="false" t="array" ref="B7:B7">INDEX(Productos!$A:B,MATCH($A7,Productos!$A:$A),COLUMN(B7))</f>
        <v>Camarón cocido</v>
      </c>
      <c r="C7" s="12" t="n">
        <v>1006</v>
      </c>
      <c r="D7" s="4" t="str">
        <f aca="false" t="array" ref="D7:D7">INDEX(Productos!$A:B,MATCH($C7,Productos!$A:$A),2)</f>
        <v>Camarón</v>
      </c>
      <c r="E7" s="12" t="n">
        <v>1</v>
      </c>
      <c r="F7" s="12" t="s">
        <v>28</v>
      </c>
      <c r="G7" s="13" t="n">
        <f aca="false">IFERROR(__xludf.dummyfunction("filter(Productos!K:K,A7=Productos!A:A)"),100)</f>
        <v>100</v>
      </c>
      <c r="H7" s="4" t="n">
        <f aca="false">G7*E7</f>
        <v>100</v>
      </c>
      <c r="I7" s="4" t="str">
        <f aca="false">F7</f>
        <v>Unid</v>
      </c>
      <c r="J7" s="14" t="n">
        <f aca="false">IFERROR(__xludf.dummyfunction("roundup(H7/filter(Productos!I:I,Productos!A:A=C7),1)"),1)</f>
        <v>1</v>
      </c>
      <c r="K7" s="4"/>
      <c r="L7" s="13"/>
      <c r="M7" s="4"/>
      <c r="N7" s="13"/>
      <c r="O7" s="13"/>
      <c r="P7" s="13"/>
      <c r="Q7" s="13"/>
      <c r="R7" s="13"/>
      <c r="S7" s="13"/>
      <c r="T7" s="13"/>
      <c r="U7" s="13"/>
      <c r="V7" s="13"/>
      <c r="W7" s="13"/>
      <c r="X7" s="13"/>
      <c r="Y7" s="13"/>
      <c r="Z7" s="13"/>
      <c r="AA7" s="13"/>
    </row>
    <row r="8" customFormat="false" ht="15.75" hidden="false" customHeight="true" outlineLevel="0" collapsed="false">
      <c r="A8" s="13" t="n">
        <v>1107</v>
      </c>
      <c r="B8" s="4" t="str">
        <f aca="false" t="array" ref="B8:B8">INDEX(Productos!$A:B,MATCH($A8,Productos!$A:$A),COLUMN(B8))</f>
        <v>Salmón cortado para roll</v>
      </c>
      <c r="C8" s="12" t="n">
        <v>1007</v>
      </c>
      <c r="D8" s="4" t="str">
        <f aca="false" t="array" ref="D8:D8">INDEX(Productos!$A:B,MATCH($C8,Productos!$A:$A),2)</f>
        <v>Filete de salmón</v>
      </c>
      <c r="E8" s="12" t="n">
        <v>0.09</v>
      </c>
      <c r="F8" s="12" t="s">
        <v>17</v>
      </c>
      <c r="G8" s="13" t="n">
        <f aca="false">IFERROR(__xludf.dummyfunction("filter(Productos!K:K,A8=Productos!A:A)"),11)</f>
        <v>11</v>
      </c>
      <c r="H8" s="4" t="n">
        <f aca="false">G8*E8</f>
        <v>0.99</v>
      </c>
      <c r="I8" s="4" t="str">
        <f aca="false">F8</f>
        <v>Kg</v>
      </c>
      <c r="J8" s="14" t="n">
        <f aca="false">IFERROR(__xludf.dummyfunction("roundup(H8/filter(Productos!I:I,Productos!A:A=C8),1)"),1)</f>
        <v>1</v>
      </c>
      <c r="K8" s="4"/>
      <c r="L8" s="13"/>
      <c r="M8" s="4"/>
      <c r="N8" s="13"/>
      <c r="O8" s="13"/>
      <c r="P8" s="13"/>
      <c r="Q8" s="13"/>
      <c r="R8" s="13"/>
      <c r="S8" s="13"/>
      <c r="T8" s="13"/>
      <c r="U8" s="13"/>
      <c r="V8" s="13"/>
      <c r="W8" s="13"/>
      <c r="X8" s="13"/>
      <c r="Y8" s="13"/>
      <c r="Z8" s="13"/>
      <c r="AA8" s="13"/>
    </row>
    <row r="9" customFormat="false" ht="15.75" hidden="false" customHeight="true" outlineLevel="0" collapsed="false">
      <c r="A9" s="13" t="n">
        <v>1108</v>
      </c>
      <c r="B9" s="4" t="str">
        <f aca="false" t="array" ref="B9:B9">INDEX(Productos!$A:B,MATCH($A9,Productos!$A:$A),COLUMN(B9))</f>
        <v>Salmón ahumado cortado para roll</v>
      </c>
      <c r="C9" s="12" t="n">
        <v>1008</v>
      </c>
      <c r="D9" s="4" t="str">
        <f aca="false" t="array" ref="D9:D9">INDEX(Productos!$A:B,MATCH($C9,Productos!$A:$A),2)</f>
        <v>Filete de salmón ahumado</v>
      </c>
      <c r="E9" s="12" t="n">
        <v>0.08</v>
      </c>
      <c r="F9" s="12" t="s">
        <v>17</v>
      </c>
      <c r="G9" s="13" t="n">
        <f aca="false">IFERROR(__xludf.dummyfunction("filter(Productos!K:K,A9=Productos!A:A)"),6)</f>
        <v>6</v>
      </c>
      <c r="H9" s="4" t="n">
        <f aca="false">G9*E9</f>
        <v>0.48</v>
      </c>
      <c r="I9" s="4" t="str">
        <f aca="false">F9</f>
        <v>Kg</v>
      </c>
      <c r="J9" s="14" t="n">
        <f aca="false">IFERROR(__xludf.dummyfunction("roundup(H9/filter(Productos!I:I,Productos!A:A=C9),1)"),1)</f>
        <v>1</v>
      </c>
      <c r="K9" s="4"/>
      <c r="L9" s="13"/>
      <c r="M9" s="4"/>
      <c r="N9" s="13"/>
      <c r="O9" s="13"/>
      <c r="P9" s="13"/>
      <c r="Q9" s="13"/>
      <c r="R9" s="13"/>
      <c r="S9" s="13"/>
      <c r="T9" s="13"/>
      <c r="U9" s="13"/>
      <c r="V9" s="13"/>
      <c r="W9" s="13"/>
      <c r="X9" s="13"/>
      <c r="Y9" s="13"/>
      <c r="Z9" s="13"/>
      <c r="AA9" s="13"/>
    </row>
    <row r="10" customFormat="false" ht="15.75" hidden="false" customHeight="true" outlineLevel="0" collapsed="false">
      <c r="A10" s="13" t="n">
        <v>1109</v>
      </c>
      <c r="B10" s="4" t="str">
        <f aca="false" t="array" ref="B10:B10">INDEX(Productos!$A:B,MATCH($A10,Productos!$A:$A),COLUMN(B10))</f>
        <v>Atún cortado para roll</v>
      </c>
      <c r="C10" s="12" t="n">
        <v>1009</v>
      </c>
      <c r="D10" s="4" t="str">
        <f aca="false" t="array" ref="D10:D10">INDEX(Productos!$A:B,MATCH($C10,Productos!$A:$A),2)</f>
        <v>Filete de atún</v>
      </c>
      <c r="E10" s="12" t="n">
        <v>0.08</v>
      </c>
      <c r="F10" s="12" t="s">
        <v>17</v>
      </c>
      <c r="G10" s="13" t="n">
        <f aca="false">IFERROR(__xludf.dummyfunction("filter(Productos!K:K,A10=Productos!A:A)"),12)</f>
        <v>12</v>
      </c>
      <c r="H10" s="4" t="n">
        <f aca="false">G10*E10</f>
        <v>0.96</v>
      </c>
      <c r="I10" s="4" t="str">
        <f aca="false">F10</f>
        <v>Kg</v>
      </c>
      <c r="J10" s="14" t="n">
        <f aca="false">IFERROR(__xludf.dummyfunction("roundup(H10/filter(Productos!I:I,Productos!A:A=C10),1)"),1)</f>
        <v>1</v>
      </c>
      <c r="K10" s="4"/>
      <c r="L10" s="13"/>
      <c r="M10" s="4"/>
      <c r="N10" s="13"/>
      <c r="O10" s="13"/>
      <c r="P10" s="13"/>
      <c r="Q10" s="13"/>
      <c r="R10" s="13"/>
      <c r="S10" s="13"/>
      <c r="T10" s="13"/>
      <c r="U10" s="13"/>
      <c r="V10" s="13"/>
      <c r="W10" s="13"/>
      <c r="X10" s="13"/>
      <c r="Y10" s="13"/>
      <c r="Z10" s="13"/>
      <c r="AA10" s="13"/>
    </row>
    <row r="11" customFormat="false" ht="15.75" hidden="false" customHeight="true" outlineLevel="0" collapsed="false">
      <c r="A11" s="13" t="n">
        <v>1110</v>
      </c>
      <c r="B11" s="4" t="str">
        <f aca="false" t="array" ref="B11:B11">INDEX(Productos!$A:B,MATCH($A11,Productos!$A:$A),COLUMN(B11))</f>
        <v>Palta cortada para envoltura</v>
      </c>
      <c r="C11" s="12" t="n">
        <v>1010</v>
      </c>
      <c r="D11" s="4" t="str">
        <f aca="false" t="array" ref="D11:D11">INDEX(Productos!$A:B,MATCH($C11,Productos!$A:$A),2)</f>
        <v>Palta</v>
      </c>
      <c r="E11" s="12" t="n">
        <v>0.5</v>
      </c>
      <c r="F11" s="12" t="s">
        <v>28</v>
      </c>
      <c r="G11" s="13" t="n">
        <f aca="false">IFERROR(__xludf.dummyfunction("filter(Productos!K:K,A11=Productos!A:A)"),6)</f>
        <v>6</v>
      </c>
      <c r="H11" s="4" t="n">
        <f aca="false">G11*E11</f>
        <v>3</v>
      </c>
      <c r="I11" s="4" t="str">
        <f aca="false">F11</f>
        <v>Unid</v>
      </c>
      <c r="J11" s="14" t="n">
        <f aca="false">IFERROR(__xludf.dummyfunction("roundup(H11/filter(Productos!I:I,Productos!A:A=C11),1)"),1)</f>
        <v>1</v>
      </c>
      <c r="K11" s="4"/>
      <c r="L11" s="13"/>
      <c r="M11" s="4"/>
      <c r="N11" s="13"/>
      <c r="O11" s="13"/>
      <c r="P11" s="13"/>
      <c r="Q11" s="13"/>
      <c r="R11" s="13"/>
      <c r="S11" s="13"/>
      <c r="T11" s="13"/>
      <c r="U11" s="13"/>
      <c r="V11" s="13"/>
      <c r="W11" s="13"/>
      <c r="X11" s="13"/>
      <c r="Y11" s="13"/>
      <c r="Z11" s="13"/>
      <c r="AA11" s="13"/>
    </row>
    <row r="12" customFormat="false" ht="15.75" hidden="false" customHeight="true" outlineLevel="0" collapsed="false">
      <c r="A12" s="13" t="n">
        <v>1111</v>
      </c>
      <c r="B12" s="4" t="str">
        <f aca="false" t="array" ref="B12:B12">INDEX(Productos!$A:B,MATCH($A12,Productos!$A:$A),COLUMN(B12))</f>
        <v>Sésamo tostado</v>
      </c>
      <c r="C12" s="12" t="n">
        <v>1011</v>
      </c>
      <c r="D12" s="4" t="str">
        <f aca="false" t="array" ref="D12:D12">INDEX(Productos!$A:B,MATCH($C12,Productos!$A:$A),2)</f>
        <v>Sésamo</v>
      </c>
      <c r="E12" s="12" t="n">
        <v>0.55</v>
      </c>
      <c r="F12" s="12" t="s">
        <v>17</v>
      </c>
      <c r="G12" s="13" t="n">
        <f aca="false">IFERROR(__xludf.dummyfunction("filter(Productos!K:K,A12=Productos!A:A)"),2)</f>
        <v>2</v>
      </c>
      <c r="H12" s="4" t="n">
        <f aca="false">G12*E12</f>
        <v>1.1</v>
      </c>
      <c r="I12" s="4" t="str">
        <f aca="false">F12</f>
        <v>Kg</v>
      </c>
      <c r="J12" s="14" t="n">
        <f aca="false">IFERROR(__xludf.dummyfunction("roundup(H12/filter(Productos!I:I,Productos!A:A=C12),1)"),2)</f>
        <v>2</v>
      </c>
      <c r="K12" s="4"/>
      <c r="L12" s="13"/>
      <c r="M12" s="4"/>
      <c r="N12" s="13"/>
      <c r="O12" s="13"/>
      <c r="P12" s="13"/>
      <c r="Q12" s="13"/>
      <c r="R12" s="13"/>
      <c r="S12" s="13"/>
      <c r="T12" s="13"/>
      <c r="U12" s="13"/>
      <c r="V12" s="13"/>
      <c r="W12" s="13"/>
      <c r="X12" s="13"/>
      <c r="Y12" s="13"/>
      <c r="Z12" s="13"/>
      <c r="AA12" s="13"/>
    </row>
    <row r="13" customFormat="false" ht="15.75" hidden="false" customHeight="true" outlineLevel="0" collapsed="false">
      <c r="A13" s="4" t="n">
        <v>1211</v>
      </c>
      <c r="B13" s="4" t="str">
        <f aca="false" t="array" ref="B13:B13">INDEX(Productos!$A:B,MATCH($A13,Productos!$A:$A),COLUMN(B13))</f>
        <v>Sésamo tostado para envoltura</v>
      </c>
      <c r="C13" s="12" t="n">
        <v>1111</v>
      </c>
      <c r="D13" s="4" t="str">
        <f aca="false" t="array" ref="D13:D13">INDEX(Productos!$A:B,MATCH($C13,Productos!$A:$A),2)</f>
        <v>Sésamo tostado</v>
      </c>
      <c r="E13" s="12" t="n">
        <v>0.05</v>
      </c>
      <c r="F13" s="12" t="s">
        <v>17</v>
      </c>
      <c r="G13" s="13" t="n">
        <f aca="false">IFERROR(__xludf.dummyfunction("filter(Productos!K:K,A13=Productos!A:A)"),10)</f>
        <v>10</v>
      </c>
      <c r="H13" s="4" t="n">
        <f aca="false">G13*E13</f>
        <v>0.5</v>
      </c>
      <c r="I13" s="4" t="str">
        <f aca="false">F13</f>
        <v>Kg</v>
      </c>
      <c r="J13" s="14" t="n">
        <f aca="false">IFERROR(__xludf.dummyfunction("roundup(H13/filter(Productos!I:I,Productos!A:A=C13),1)"),1)</f>
        <v>1</v>
      </c>
      <c r="K13" s="4"/>
      <c r="L13" s="4"/>
      <c r="M13" s="4"/>
      <c r="N13" s="13"/>
      <c r="O13" s="13"/>
      <c r="P13" s="13"/>
      <c r="Q13" s="13"/>
      <c r="R13" s="13"/>
      <c r="S13" s="13"/>
      <c r="T13" s="13"/>
      <c r="U13" s="13"/>
      <c r="V13" s="13"/>
      <c r="W13" s="13"/>
      <c r="X13" s="13"/>
      <c r="Y13" s="13"/>
      <c r="Z13" s="13"/>
      <c r="AA13" s="13"/>
    </row>
    <row r="14" customFormat="false" ht="15.75" hidden="false" customHeight="true" outlineLevel="0" collapsed="false">
      <c r="A14" s="12" t="n">
        <v>1112</v>
      </c>
      <c r="B14" s="4" t="str">
        <f aca="false" t="array" ref="B14:B14">INDEX(Productos!$A:B,MATCH($A14,Productos!$A:$A),COLUMN(B14))</f>
        <v>Queso crema para roll</v>
      </c>
      <c r="C14" s="12" t="n">
        <v>1012</v>
      </c>
      <c r="D14" s="4" t="str">
        <f aca="false" t="array" ref="D14:D14">INDEX(Productos!$A:B,MATCH($C14,Productos!$A:$A),2)</f>
        <v>Queso crema</v>
      </c>
      <c r="E14" s="12" t="n">
        <v>0.05</v>
      </c>
      <c r="F14" s="12" t="s">
        <v>17</v>
      </c>
      <c r="G14" s="13" t="n">
        <f aca="false">IFERROR(__xludf.dummyfunction("filter(Productos!K:K,A14=Productos!A:A)"),20)</f>
        <v>20</v>
      </c>
      <c r="H14" s="4" t="n">
        <f aca="false">G14*E14</f>
        <v>1</v>
      </c>
      <c r="I14" s="4" t="str">
        <f aca="false">F14</f>
        <v>Kg</v>
      </c>
      <c r="J14" s="14" t="n">
        <f aca="false">IFERROR(__xludf.dummyfunction("roundup(H14/filter(Productos!I:I,Productos!A:A=C14),1)"),1)</f>
        <v>1</v>
      </c>
      <c r="K14" s="4"/>
      <c r="L14" s="12"/>
      <c r="M14" s="4"/>
      <c r="N14" s="13"/>
      <c r="O14" s="13"/>
      <c r="P14" s="13"/>
      <c r="Q14" s="13"/>
      <c r="R14" s="13"/>
      <c r="S14" s="13"/>
      <c r="T14" s="13"/>
      <c r="U14" s="13"/>
      <c r="V14" s="13"/>
      <c r="W14" s="13"/>
      <c r="X14" s="13"/>
      <c r="Y14" s="13"/>
      <c r="Z14" s="13"/>
      <c r="AA14" s="13"/>
    </row>
    <row r="15" customFormat="false" ht="15.75" hidden="false" customHeight="true" outlineLevel="0" collapsed="false">
      <c r="A15" s="13" t="n">
        <v>1114</v>
      </c>
      <c r="B15" s="4" t="str">
        <f aca="false" t="array" ref="B15:B15">INDEX(Productos!$A:B,MATCH($A15,Productos!$A:$A),COLUMN(B15))</f>
        <v>Cebollín cortado para roll</v>
      </c>
      <c r="C15" s="12" t="n">
        <v>1014</v>
      </c>
      <c r="D15" s="4" t="str">
        <f aca="false" t="array" ref="D15:D15">INDEX(Productos!$A:B,MATCH($C15,Productos!$A:$A),2)</f>
        <v>Cebollín entero</v>
      </c>
      <c r="E15" s="12" t="n">
        <v>0.25</v>
      </c>
      <c r="F15" s="12" t="s">
        <v>28</v>
      </c>
      <c r="G15" s="13" t="n">
        <f aca="false">IFERROR(__xludf.dummyfunction("filter(Productos!K:K,A15=Productos!A:A)"),4)</f>
        <v>4</v>
      </c>
      <c r="H15" s="4" t="n">
        <f aca="false">G15*E15</f>
        <v>1</v>
      </c>
      <c r="I15" s="4" t="str">
        <f aca="false">F15</f>
        <v>Unid</v>
      </c>
      <c r="J15" s="14" t="n">
        <f aca="false">IFERROR(__xludf.dummyfunction("roundup(H15/filter(Productos!I:I,Productos!A:A=C15),1)"),1)</f>
        <v>1</v>
      </c>
      <c r="K15" s="4"/>
      <c r="L15" s="13"/>
      <c r="M15" s="4"/>
      <c r="N15" s="13"/>
      <c r="O15" s="13"/>
      <c r="P15" s="13"/>
      <c r="Q15" s="13"/>
      <c r="R15" s="13"/>
      <c r="S15" s="13"/>
      <c r="T15" s="13"/>
      <c r="U15" s="13"/>
      <c r="V15" s="13"/>
      <c r="W15" s="13"/>
      <c r="X15" s="13"/>
      <c r="Y15" s="13"/>
      <c r="Z15" s="13"/>
      <c r="AA15" s="13"/>
    </row>
    <row r="16" customFormat="false" ht="15.75" hidden="false" customHeight="true" outlineLevel="0" collapsed="false">
      <c r="A16" s="13" t="n">
        <v>1115</v>
      </c>
      <c r="B16" s="4" t="str">
        <f aca="false" t="array" ref="B16:B16">INDEX(Productos!$A:B,MATCH($A16,Productos!$A:$A),COLUMN(B16))</f>
        <v>Ciboulette picado para roll</v>
      </c>
      <c r="C16" s="12" t="n">
        <v>1015</v>
      </c>
      <c r="D16" s="4" t="str">
        <f aca="false" t="array" ref="D16:D16">INDEX(Productos!$A:B,MATCH($C16,Productos!$A:$A),2)</f>
        <v>Ciboulette entero</v>
      </c>
      <c r="E16" s="12" t="n">
        <v>0.025</v>
      </c>
      <c r="F16" s="12" t="s">
        <v>17</v>
      </c>
      <c r="G16" s="13" t="n">
        <f aca="false">IFERROR(__xludf.dummyfunction("filter(Productos!K:K,A16=Productos!A:A)"),8)</f>
        <v>8</v>
      </c>
      <c r="H16" s="4" t="n">
        <f aca="false">G16*E16</f>
        <v>0.2</v>
      </c>
      <c r="I16" s="4" t="str">
        <f aca="false">F16</f>
        <v>Kg</v>
      </c>
      <c r="J16" s="14" t="n">
        <f aca="false">IFERROR(__xludf.dummyfunction("roundup(H16/filter(Productos!I:I,Productos!A:A=C16),1)"),2)</f>
        <v>2</v>
      </c>
      <c r="L16" s="13"/>
      <c r="M16" s="4"/>
      <c r="N16" s="13"/>
      <c r="O16" s="13"/>
      <c r="P16" s="13"/>
      <c r="Q16" s="13"/>
      <c r="R16" s="13"/>
      <c r="S16" s="13"/>
      <c r="T16" s="13"/>
      <c r="U16" s="13"/>
      <c r="V16" s="13"/>
      <c r="W16" s="13"/>
      <c r="X16" s="13"/>
      <c r="Y16" s="13"/>
      <c r="Z16" s="13"/>
      <c r="AA16" s="13"/>
    </row>
    <row r="17" customFormat="false" ht="15.75" hidden="false" customHeight="true" outlineLevel="0" collapsed="false">
      <c r="A17" s="4" t="n">
        <v>1116</v>
      </c>
      <c r="B17" s="4" t="str">
        <f aca="false" t="array" ref="B17:B17">INDEX(Productos!$A:B,MATCH($A17,Productos!$A:$A),COLUMN(B17))</f>
        <v>Nori entero cortado para roll</v>
      </c>
      <c r="C17" s="12" t="n">
        <v>1016</v>
      </c>
      <c r="D17" s="4" t="str">
        <f aca="false" t="array" ref="D17:D17">INDEX(Productos!$A:B,MATCH($C17,Productos!$A:$A),2)</f>
        <v>Nori entero</v>
      </c>
      <c r="E17" s="12" t="n">
        <v>1.1</v>
      </c>
      <c r="F17" s="12" t="s">
        <v>28</v>
      </c>
      <c r="G17" s="13" t="n">
        <f aca="false">IFERROR(__xludf.dummyfunction("filter(Productos!K:K,A17=Productos!A:A)"),10)</f>
        <v>10</v>
      </c>
      <c r="H17" s="4" t="n">
        <f aca="false">G17*E17</f>
        <v>11</v>
      </c>
      <c r="I17" s="4" t="str">
        <f aca="false">F17</f>
        <v>Unid</v>
      </c>
      <c r="J17" s="14" t="n">
        <f aca="false">IFERROR(__xludf.dummyfunction("roundup(H17/filter(Productos!I:I,Productos!A:A=C17),1)"),11)</f>
        <v>11</v>
      </c>
      <c r="L17" s="4"/>
      <c r="M17" s="4"/>
      <c r="N17" s="13"/>
      <c r="O17" s="13"/>
      <c r="P17" s="13"/>
      <c r="Q17" s="13"/>
      <c r="R17" s="13"/>
      <c r="S17" s="13"/>
      <c r="T17" s="13"/>
      <c r="U17" s="13"/>
      <c r="V17" s="13"/>
      <c r="W17" s="13"/>
      <c r="X17" s="13"/>
      <c r="Y17" s="13"/>
      <c r="Z17" s="13"/>
      <c r="AA17" s="13"/>
    </row>
    <row r="18" customFormat="false" ht="15.75" hidden="false" customHeight="true" outlineLevel="0" collapsed="false">
      <c r="A18" s="4" t="n">
        <v>1201</v>
      </c>
      <c r="B18" s="4" t="str">
        <f aca="false" t="array" ref="B18:B18">INDEX(Productos!$A:B,MATCH($A18,Productos!$A:$A),COLUMN(B18))</f>
        <v>Arroz cocido para roll</v>
      </c>
      <c r="C18" s="12" t="n">
        <v>1101</v>
      </c>
      <c r="D18" s="4" t="str">
        <f aca="false" t="array" ref="D18:D18">INDEX(Productos!$A:B,MATCH($C18,Productos!$A:$A),2)</f>
        <v>Arroz cocido</v>
      </c>
      <c r="E18" s="12" t="n">
        <v>0.1</v>
      </c>
      <c r="F18" s="12" t="s">
        <v>17</v>
      </c>
      <c r="G18" s="13" t="n">
        <f aca="false">IFERROR(__xludf.dummyfunction("filter(Productos!K:K,A18=Productos!A:A)"),10)</f>
        <v>10</v>
      </c>
      <c r="H18" s="4" t="n">
        <f aca="false">G18*E18</f>
        <v>1</v>
      </c>
      <c r="I18" s="4" t="str">
        <f aca="false">F18</f>
        <v>Kg</v>
      </c>
      <c r="J18" s="14" t="n">
        <f aca="false">IFERROR(__xludf.dummyfunction("roundup(H18/filter(Productos!I:I,Productos!A:A=C18),1)"),1)</f>
        <v>1</v>
      </c>
      <c r="L18" s="4"/>
      <c r="M18" s="4"/>
      <c r="N18" s="13"/>
      <c r="O18" s="13"/>
      <c r="P18" s="13"/>
      <c r="Q18" s="13"/>
      <c r="R18" s="13"/>
      <c r="S18" s="13"/>
      <c r="T18" s="13"/>
      <c r="U18" s="13"/>
      <c r="V18" s="13"/>
      <c r="W18" s="13"/>
      <c r="X18" s="13"/>
      <c r="Y18" s="13"/>
      <c r="Z18" s="13"/>
      <c r="AA18" s="13"/>
    </row>
    <row r="19" customFormat="false" ht="15.75" hidden="false" customHeight="true" outlineLevel="0" collapsed="false">
      <c r="A19" s="4" t="n">
        <v>1207</v>
      </c>
      <c r="B19" s="4" t="str">
        <f aca="false" t="array" ref="B19:B19">INDEX(Productos!$A:B,MATCH($A19,Productos!$A:$A),COLUMN(B19))</f>
        <v>Salmón cortado para nigiri</v>
      </c>
      <c r="C19" s="12" t="n">
        <v>1007</v>
      </c>
      <c r="D19" s="4" t="str">
        <f aca="false" t="array" ref="D19:D19">INDEX(Productos!$A:B,MATCH($C19,Productos!$A:$A),2)</f>
        <v>Filete de salmón</v>
      </c>
      <c r="E19" s="12" t="n">
        <v>0.08</v>
      </c>
      <c r="F19" s="12" t="s">
        <v>17</v>
      </c>
      <c r="G19" s="13" t="n">
        <f aca="false">IFERROR(__xludf.dummyfunction("filter(Productos!K:K,A19=Productos!A:A)"),12)</f>
        <v>12</v>
      </c>
      <c r="H19" s="4" t="n">
        <f aca="false">G19*E19</f>
        <v>0.96</v>
      </c>
      <c r="I19" s="4" t="str">
        <f aca="false">F19</f>
        <v>Kg</v>
      </c>
      <c r="J19" s="14" t="n">
        <f aca="false">IFERROR(__xludf.dummyfunction("roundup(H19/filter(Productos!I:I,Productos!A:A=C19),1)"),1)</f>
        <v>1</v>
      </c>
      <c r="L19" s="4"/>
      <c r="M19" s="4"/>
      <c r="N19" s="13"/>
      <c r="O19" s="13"/>
      <c r="P19" s="13"/>
      <c r="Q19" s="13"/>
      <c r="R19" s="13"/>
      <c r="S19" s="13"/>
      <c r="T19" s="13"/>
      <c r="U19" s="13"/>
      <c r="V19" s="13"/>
      <c r="W19" s="13"/>
      <c r="X19" s="13"/>
      <c r="Y19" s="13"/>
      <c r="Z19" s="13"/>
      <c r="AA19" s="13"/>
    </row>
    <row r="20" customFormat="false" ht="15.75" hidden="false" customHeight="true" outlineLevel="0" collapsed="false">
      <c r="A20" s="4" t="n">
        <v>1209</v>
      </c>
      <c r="B20" s="4" t="str">
        <f aca="false" t="array" ref="B20:B20">INDEX(Productos!$A:B,MATCH($A20,Productos!$A:$A),COLUMN(B20))</f>
        <v>Atún cortado para nigiri</v>
      </c>
      <c r="C20" s="12" t="n">
        <v>1009</v>
      </c>
      <c r="D20" s="4" t="str">
        <f aca="false" t="array" ref="D20:D20">INDEX(Productos!$A:B,MATCH($C20,Productos!$A:$A),2)</f>
        <v>Filete de atún</v>
      </c>
      <c r="E20" s="12" t="n">
        <v>0.07</v>
      </c>
      <c r="F20" s="12" t="s">
        <v>17</v>
      </c>
      <c r="G20" s="13" t="n">
        <f aca="false">IFERROR(__xludf.dummyfunction("filter(Productos!K:K,A20=Productos!A:A)"),14)</f>
        <v>14</v>
      </c>
      <c r="H20" s="4" t="n">
        <f aca="false">G20*E20</f>
        <v>0.98</v>
      </c>
      <c r="I20" s="4" t="str">
        <f aca="false">F20</f>
        <v>Kg</v>
      </c>
      <c r="J20" s="14" t="n">
        <f aca="false">IFERROR(__xludf.dummyfunction("roundup(H20/filter(Productos!I:I,Productos!A:A=C20),1)"),1)</f>
        <v>1</v>
      </c>
      <c r="L20" s="4"/>
      <c r="M20" s="4"/>
      <c r="N20" s="13"/>
      <c r="O20" s="13"/>
      <c r="P20" s="13"/>
      <c r="Q20" s="13"/>
      <c r="R20" s="13"/>
      <c r="S20" s="13"/>
      <c r="T20" s="13"/>
      <c r="U20" s="13"/>
      <c r="V20" s="13"/>
      <c r="W20" s="13"/>
      <c r="X20" s="13"/>
      <c r="Y20" s="13"/>
      <c r="Z20" s="13"/>
      <c r="AA20" s="13"/>
    </row>
    <row r="21" customFormat="false" ht="15.75" hidden="false" customHeight="true" outlineLevel="0" collapsed="false">
      <c r="A21" s="13" t="n">
        <v>1210</v>
      </c>
      <c r="B21" s="4" t="str">
        <f aca="false" t="array" ref="B21:B21">INDEX(Productos!$A:B,MATCH($A21,Productos!$A:$A),COLUMN(B21))</f>
        <v>Palta cortada para roll</v>
      </c>
      <c r="C21" s="12" t="n">
        <v>1010</v>
      </c>
      <c r="D21" s="4" t="str">
        <f aca="false" t="array" ref="D21:D21">INDEX(Productos!$A:B,MATCH($C21,Productos!$A:$A),2)</f>
        <v>Palta</v>
      </c>
      <c r="E21" s="15" t="n">
        <f aca="false">1/3</f>
        <v>0.333333333333333</v>
      </c>
      <c r="F21" s="12" t="s">
        <v>28</v>
      </c>
      <c r="G21" s="13" t="n">
        <f aca="false">IFERROR(__xludf.dummyfunction("filter(Productos!K:K,A21=Productos!A:A)"),9)</f>
        <v>9</v>
      </c>
      <c r="H21" s="4" t="n">
        <f aca="false">G21*E21</f>
        <v>3</v>
      </c>
      <c r="I21" s="4" t="str">
        <f aca="false">F21</f>
        <v>Unid</v>
      </c>
      <c r="J21" s="14" t="n">
        <f aca="false">IFERROR(__xludf.dummyfunction("roundup(H21/filter(Productos!I:I,Productos!A:A=C21),1)"),1)</f>
        <v>1</v>
      </c>
      <c r="K21" s="13"/>
      <c r="L21" s="13"/>
      <c r="M21" s="4"/>
      <c r="N21" s="13"/>
      <c r="O21" s="13"/>
      <c r="P21" s="13"/>
      <c r="Q21" s="13"/>
      <c r="R21" s="13"/>
      <c r="S21" s="13"/>
      <c r="T21" s="13"/>
      <c r="U21" s="13"/>
      <c r="V21" s="13"/>
      <c r="W21" s="13"/>
      <c r="X21" s="13"/>
      <c r="Y21" s="13"/>
      <c r="Z21" s="13"/>
      <c r="AA21" s="13"/>
    </row>
    <row r="22" customFormat="false" ht="15.75" hidden="false" customHeight="true" outlineLevel="0" collapsed="false">
      <c r="A22" s="4" t="n">
        <v>1215</v>
      </c>
      <c r="B22" s="4" t="str">
        <f aca="false" t="array" ref="B22:B22">INDEX(Productos!$A:B,MATCH($A22,Productos!$A:$A),COLUMN(B22))</f>
        <v>Ciboulette picado para envoltura</v>
      </c>
      <c r="C22" s="12" t="n">
        <v>1015</v>
      </c>
      <c r="D22" s="4" t="str">
        <f aca="false" t="array" ref="D22:D22">INDEX(Productos!$A:B,MATCH($C22,Productos!$A:$A),2)</f>
        <v>Ciboulette entero</v>
      </c>
      <c r="E22" s="12" t="n">
        <v>0.05</v>
      </c>
      <c r="F22" s="12" t="s">
        <v>17</v>
      </c>
      <c r="G22" s="13" t="n">
        <f aca="false">IFERROR(__xludf.dummyfunction("filter(Productos!K:K,A22=Productos!A:A)"),8)</f>
        <v>8</v>
      </c>
      <c r="H22" s="4" t="n">
        <f aca="false">G22*E22</f>
        <v>0.4</v>
      </c>
      <c r="I22" s="4" t="str">
        <f aca="false">F22</f>
        <v>Kg</v>
      </c>
      <c r="J22" s="14" t="n">
        <f aca="false">IFERROR(__xludf.dummyfunction("roundup(H22/filter(Productos!I:I,Productos!A:A=C22),1)"),4)</f>
        <v>4</v>
      </c>
      <c r="K22" s="13"/>
      <c r="L22" s="4"/>
      <c r="M22" s="4"/>
      <c r="N22" s="13"/>
      <c r="O22" s="13"/>
      <c r="P22" s="13"/>
      <c r="Q22" s="13"/>
      <c r="R22" s="13"/>
      <c r="S22" s="13"/>
      <c r="T22" s="13"/>
      <c r="U22" s="13"/>
      <c r="V22" s="13"/>
      <c r="W22" s="13"/>
      <c r="X22" s="13"/>
      <c r="Y22" s="13"/>
      <c r="Z22" s="13"/>
      <c r="AA22" s="13"/>
    </row>
    <row r="23" customFormat="false" ht="15.75" hidden="false" customHeight="true" outlineLevel="0" collapsed="false">
      <c r="A23" s="4" t="n">
        <v>1216</v>
      </c>
      <c r="B23" s="4" t="str">
        <f aca="false" t="array" ref="B23:B23">INDEX(Productos!$A:B,MATCH($A23,Productos!$A:$A),COLUMN(B23))</f>
        <v>Nori entero cortado para nigiri</v>
      </c>
      <c r="C23" s="12" t="n">
        <v>1016</v>
      </c>
      <c r="D23" s="4" t="str">
        <f aca="false" t="array" ref="D23:D23">INDEX(Productos!$A:B,MATCH($C23,Productos!$A:$A),2)</f>
        <v>Nori entero</v>
      </c>
      <c r="E23" s="12" t="n">
        <v>0.2</v>
      </c>
      <c r="F23" s="12" t="s">
        <v>28</v>
      </c>
      <c r="G23" s="13" t="n">
        <f aca="false">IFERROR(__xludf.dummyfunction("filter(Productos!K:K,A23=Productos!A:A)"),10)</f>
        <v>10</v>
      </c>
      <c r="H23" s="4" t="n">
        <f aca="false">G23*E23</f>
        <v>2</v>
      </c>
      <c r="I23" s="4" t="str">
        <f aca="false">F23</f>
        <v>Unid</v>
      </c>
      <c r="J23" s="14" t="n">
        <f aca="false">IFERROR(__xludf.dummyfunction("roundup(H23/filter(Productos!I:I,Productos!A:A=C23),1)"),2)</f>
        <v>2</v>
      </c>
      <c r="K23" s="13"/>
      <c r="L23" s="4"/>
      <c r="M23" s="4"/>
      <c r="N23" s="13"/>
      <c r="O23" s="13"/>
      <c r="P23" s="13"/>
      <c r="Q23" s="13"/>
      <c r="R23" s="13"/>
      <c r="S23" s="13"/>
      <c r="T23" s="13"/>
      <c r="U23" s="13"/>
      <c r="V23" s="13"/>
      <c r="W23" s="13"/>
      <c r="X23" s="13"/>
      <c r="Y23" s="13"/>
      <c r="Z23" s="13"/>
      <c r="AA23" s="13"/>
    </row>
    <row r="24" customFormat="false" ht="15.75" hidden="false" customHeight="true" outlineLevel="0" collapsed="false">
      <c r="A24" s="4" t="n">
        <v>1301</v>
      </c>
      <c r="B24" s="4" t="str">
        <f aca="false" t="array" ref="B24:B24">INDEX(Productos!$A:B,MATCH($A24,Productos!$A:$A),COLUMN(B24))</f>
        <v>Arroz cocido para nigiri</v>
      </c>
      <c r="C24" s="12" t="n">
        <v>1101</v>
      </c>
      <c r="D24" s="4" t="str">
        <f aca="false" t="array" ref="D24:D24">INDEX(Productos!$A:B,MATCH($C24,Productos!$A:$A),2)</f>
        <v>Arroz cocido</v>
      </c>
      <c r="E24" s="12" t="n">
        <v>0.2</v>
      </c>
      <c r="F24" s="12" t="s">
        <v>17</v>
      </c>
      <c r="G24" s="13" t="n">
        <f aca="false">IFERROR(__xludf.dummyfunction("filter(Productos!K:K,A24=Productos!A:A)"),5)</f>
        <v>5</v>
      </c>
      <c r="H24" s="4" t="n">
        <f aca="false">G24*E24</f>
        <v>1</v>
      </c>
      <c r="I24" s="4" t="str">
        <f aca="false">F24</f>
        <v>Kg</v>
      </c>
      <c r="J24" s="14" t="n">
        <f aca="false">IFERROR(__xludf.dummyfunction("roundup(H24/filter(Productos!I:I,Productos!A:A=C24),1)"),1)</f>
        <v>1</v>
      </c>
      <c r="K24" s="13"/>
      <c r="L24" s="4"/>
      <c r="M24" s="4"/>
      <c r="N24" s="13"/>
      <c r="O24" s="13"/>
      <c r="P24" s="13"/>
      <c r="Q24" s="13"/>
      <c r="R24" s="13"/>
      <c r="S24" s="13"/>
      <c r="T24" s="13"/>
      <c r="U24" s="13"/>
      <c r="V24" s="13"/>
      <c r="W24" s="13"/>
      <c r="X24" s="13"/>
      <c r="Y24" s="13"/>
      <c r="Z24" s="13"/>
      <c r="AA24" s="13"/>
    </row>
    <row r="25" customFormat="false" ht="15.75" hidden="false" customHeight="true" outlineLevel="0" collapsed="false">
      <c r="A25" s="4" t="n">
        <v>1307</v>
      </c>
      <c r="B25" s="4" t="str">
        <f aca="false" t="array" ref="B25:B25">INDEX(Productos!$A:B,MATCH($A25,Productos!$A:$A),COLUMN(B25))</f>
        <v>Salmón cortado para sashimi</v>
      </c>
      <c r="C25" s="12" t="n">
        <v>1007</v>
      </c>
      <c r="D25" s="4" t="str">
        <f aca="false" t="array" ref="D25:D25">INDEX(Productos!$A:B,MATCH($C25,Productos!$A:$A),2)</f>
        <v>Filete de salmón</v>
      </c>
      <c r="E25" s="12" t="n">
        <v>0.09</v>
      </c>
      <c r="F25" s="12" t="s">
        <v>17</v>
      </c>
      <c r="G25" s="13" t="n">
        <f aca="false">IFERROR(__xludf.dummyfunction("filter(Productos!K:K,A25=Productos!A:A)"),11)</f>
        <v>11</v>
      </c>
      <c r="H25" s="4" t="n">
        <f aca="false">G25*E25</f>
        <v>0.99</v>
      </c>
      <c r="I25" s="4" t="str">
        <f aca="false">F25</f>
        <v>Kg</v>
      </c>
      <c r="J25" s="14" t="n">
        <f aca="false">IFERROR(__xludf.dummyfunction("roundup(H25/filter(Productos!I:I,Productos!A:A=C25),1)"),1)</f>
        <v>1</v>
      </c>
      <c r="K25" s="13"/>
      <c r="L25" s="4"/>
      <c r="M25" s="4"/>
      <c r="N25" s="13"/>
      <c r="O25" s="13"/>
      <c r="P25" s="13"/>
      <c r="Q25" s="13"/>
      <c r="R25" s="13"/>
      <c r="S25" s="13"/>
      <c r="T25" s="13"/>
      <c r="U25" s="13"/>
      <c r="V25" s="13"/>
      <c r="W25" s="13"/>
      <c r="X25" s="13"/>
      <c r="Y25" s="13"/>
      <c r="Z25" s="13"/>
      <c r="AA25" s="13"/>
    </row>
    <row r="26" customFormat="false" ht="15.75" hidden="false" customHeight="true" outlineLevel="0" collapsed="false">
      <c r="A26" s="4" t="n">
        <v>1309</v>
      </c>
      <c r="B26" s="4" t="str">
        <f aca="false" t="array" ref="B26:B26">INDEX(Productos!$A:B,MATCH($A26,Productos!$A:$A),COLUMN(B26))</f>
        <v>Atún cortado para sashimi</v>
      </c>
      <c r="C26" s="12" t="n">
        <v>1009</v>
      </c>
      <c r="D26" s="4" t="str">
        <f aca="false" t="array" ref="D26:D26">INDEX(Productos!$A:B,MATCH($C26,Productos!$A:$A),2)</f>
        <v>Filete de atún</v>
      </c>
      <c r="E26" s="12" t="n">
        <v>0.09</v>
      </c>
      <c r="F26" s="12" t="s">
        <v>17</v>
      </c>
      <c r="G26" s="13" t="n">
        <f aca="false">IFERROR(__xludf.dummyfunction("filter(Productos!K:K,A26=Productos!A:A)"),11)</f>
        <v>11</v>
      </c>
      <c r="H26" s="4" t="n">
        <f aca="false">G26*E26</f>
        <v>0.99</v>
      </c>
      <c r="I26" s="4" t="str">
        <f aca="false">F26</f>
        <v>Kg</v>
      </c>
      <c r="J26" s="14" t="n">
        <f aca="false">IFERROR(__xludf.dummyfunction("roundup(H26/filter(Productos!I:I,Productos!A:A=C26),1)"),1)</f>
        <v>1</v>
      </c>
      <c r="K26" s="13"/>
      <c r="L26" s="4"/>
      <c r="M26" s="4"/>
      <c r="N26" s="13"/>
      <c r="O26" s="13"/>
      <c r="P26" s="13"/>
      <c r="Q26" s="13"/>
      <c r="R26" s="13"/>
      <c r="S26" s="13"/>
      <c r="T26" s="13"/>
      <c r="U26" s="13"/>
      <c r="V26" s="13"/>
      <c r="W26" s="13"/>
      <c r="X26" s="13"/>
      <c r="Y26" s="13"/>
      <c r="Z26" s="13"/>
      <c r="AA26" s="13"/>
    </row>
    <row r="27" customFormat="false" ht="15.75" hidden="false" customHeight="true" outlineLevel="0" collapsed="false">
      <c r="A27" s="4" t="n">
        <v>1310</v>
      </c>
      <c r="B27" s="4" t="str">
        <f aca="false" t="array" ref="B27:B27">INDEX(Productos!$A:B,MATCH($A27,Productos!$A:$A),COLUMN(B27))</f>
        <v>Palta cortada para nigiri</v>
      </c>
      <c r="C27" s="12" t="n">
        <v>1010</v>
      </c>
      <c r="D27" s="4" t="str">
        <f aca="false" t="array" ref="D27:D27">INDEX(Productos!$A:B,MATCH($C27,Productos!$A:$A),2)</f>
        <v>Palta</v>
      </c>
      <c r="E27" s="12" t="n">
        <v>0.25</v>
      </c>
      <c r="F27" s="12" t="s">
        <v>28</v>
      </c>
      <c r="G27" s="13" t="n">
        <f aca="false">IFERROR(__xludf.dummyfunction("filter(Productos!K:K,A27=Productos!A:A)"),12)</f>
        <v>12</v>
      </c>
      <c r="H27" s="4" t="n">
        <f aca="false">G27*E27</f>
        <v>3</v>
      </c>
      <c r="I27" s="4" t="str">
        <f aca="false">F27</f>
        <v>Unid</v>
      </c>
      <c r="J27" s="14" t="n">
        <f aca="false">IFERROR(__xludf.dummyfunction("roundup(H27/filter(Productos!I:I,Productos!A:A=C27),1)"),1)</f>
        <v>1</v>
      </c>
      <c r="K27" s="13"/>
      <c r="L27" s="4"/>
      <c r="M27" s="4"/>
      <c r="N27" s="13"/>
      <c r="O27" s="13"/>
      <c r="P27" s="13"/>
      <c r="Q27" s="13"/>
      <c r="R27" s="13"/>
      <c r="S27" s="13"/>
      <c r="T27" s="13"/>
      <c r="U27" s="13"/>
      <c r="V27" s="13"/>
      <c r="W27" s="13"/>
      <c r="X27" s="13"/>
      <c r="Y27" s="13"/>
      <c r="Z27" s="13"/>
      <c r="AA27" s="13"/>
    </row>
    <row r="28" customFormat="false" ht="15.75" hidden="false" customHeight="true" outlineLevel="0" collapsed="false">
      <c r="A28" s="4" t="n">
        <v>1407</v>
      </c>
      <c r="B28" s="4" t="str">
        <f aca="false" t="array" ref="B28:B28">INDEX(Productos!$A:B,MATCH($A28,Productos!$A:$A),COLUMN(B28))</f>
        <v>Salmón cortado para envoltura</v>
      </c>
      <c r="C28" s="12" t="n">
        <v>1007</v>
      </c>
      <c r="D28" s="4" t="str">
        <f aca="false" t="array" ref="D28:D28">INDEX(Productos!$A:B,MATCH($C28,Productos!$A:$A),2)</f>
        <v>Filete de salmón</v>
      </c>
      <c r="E28" s="12" t="n">
        <v>0.07</v>
      </c>
      <c r="F28" s="12" t="s">
        <v>17</v>
      </c>
      <c r="G28" s="13" t="n">
        <f aca="false">IFERROR(__xludf.dummyfunction("filter(Productos!K:K,A28=Productos!A:A)"),14)</f>
        <v>14</v>
      </c>
      <c r="H28" s="4" t="n">
        <f aca="false">G28*E28</f>
        <v>0.98</v>
      </c>
      <c r="I28" s="4" t="str">
        <f aca="false">F28</f>
        <v>Kg</v>
      </c>
      <c r="J28" s="14" t="n">
        <f aca="false">IFERROR(__xludf.dummyfunction("roundup(H28/filter(Productos!I:I,Productos!A:A=C28),1)"),1)</f>
        <v>1</v>
      </c>
      <c r="K28" s="13"/>
      <c r="L28" s="4"/>
      <c r="M28" s="4"/>
      <c r="N28" s="13"/>
      <c r="O28" s="13"/>
      <c r="P28" s="13"/>
      <c r="Q28" s="13"/>
      <c r="R28" s="13"/>
      <c r="S28" s="13"/>
      <c r="T28" s="13"/>
      <c r="U28" s="13"/>
      <c r="V28" s="13"/>
      <c r="W28" s="13"/>
      <c r="X28" s="13"/>
      <c r="Y28" s="13"/>
      <c r="Z28" s="13"/>
      <c r="AA28" s="13"/>
    </row>
    <row r="29" customFormat="false" ht="15.75" hidden="false" customHeight="true" outlineLevel="0" collapsed="false">
      <c r="A29" s="13" t="n">
        <v>10001</v>
      </c>
      <c r="B29" s="4" t="str">
        <f aca="false" t="array" ref="B29:B29">INDEX(Productos!$A:B,MATCH($A29,Productos!$A:$A),COLUMN(B29))</f>
        <v>California Maki Sésamo</v>
      </c>
      <c r="C29" s="12" t="n">
        <v>1201</v>
      </c>
      <c r="D29" s="4" t="str">
        <f aca="false" t="array" ref="D29:D29">INDEX(Productos!$A:B,MATCH($C29,Productos!$A:$A),2)</f>
        <v>Arroz cocido para roll</v>
      </c>
      <c r="E29" s="12" t="n">
        <v>1</v>
      </c>
      <c r="F29" s="12" t="s">
        <v>28</v>
      </c>
      <c r="G29" s="13" t="n">
        <f aca="false">IFERROR(__xludf.dummyfunction("filter(Productos!K:K,A29=Productos!A:A)"),1)</f>
        <v>1</v>
      </c>
      <c r="H29" s="4" t="n">
        <f aca="false">G29*E29</f>
        <v>1</v>
      </c>
      <c r="I29" s="4" t="str">
        <f aca="false">F29</f>
        <v>Unid</v>
      </c>
      <c r="J29" s="14" t="n">
        <f aca="false">IFERROR(__xludf.dummyfunction("roundup(H29/filter(Productos!I:I,Productos!A:A=C29),1)"),1)</f>
        <v>1</v>
      </c>
      <c r="K29" s="13"/>
      <c r="L29" s="13"/>
      <c r="M29" s="4"/>
      <c r="N29" s="13"/>
      <c r="O29" s="13"/>
      <c r="P29" s="13"/>
      <c r="Q29" s="13"/>
      <c r="R29" s="13"/>
      <c r="S29" s="13"/>
      <c r="T29" s="13"/>
      <c r="U29" s="13"/>
      <c r="V29" s="13"/>
      <c r="W29" s="13"/>
      <c r="X29" s="13"/>
      <c r="Y29" s="13"/>
      <c r="Z29" s="13"/>
      <c r="AA29" s="13"/>
    </row>
    <row r="30" customFormat="false" ht="15.75" hidden="false" customHeight="true" outlineLevel="0" collapsed="false">
      <c r="A30" s="13" t="n">
        <v>10001</v>
      </c>
      <c r="B30" s="4" t="str">
        <f aca="false" t="array" ref="B30:B30">INDEX(Productos!$A:B,MATCH($A30,Productos!$A:$A),COLUMN(B30))</f>
        <v>California Maki Sésamo</v>
      </c>
      <c r="C30" s="12" t="n">
        <v>1105</v>
      </c>
      <c r="D30" s="4" t="str">
        <f aca="false" t="array" ref="D30:D30">INDEX(Productos!$A:B,MATCH($C30,Productos!$A:$A),2)</f>
        <v>Kanikama para roll</v>
      </c>
      <c r="E30" s="12" t="n">
        <v>1</v>
      </c>
      <c r="F30" s="12" t="s">
        <v>28</v>
      </c>
      <c r="G30" s="13" t="n">
        <f aca="false">IFERROR(__xludf.dummyfunction("filter(Productos!K:K,A30=Productos!A:A)"),1)</f>
        <v>1</v>
      </c>
      <c r="H30" s="4" t="n">
        <f aca="false">G30*E30</f>
        <v>1</v>
      </c>
      <c r="I30" s="4" t="str">
        <f aca="false">F30</f>
        <v>Unid</v>
      </c>
      <c r="J30" s="14" t="n">
        <f aca="false">IFERROR(__xludf.dummyfunction("roundup(H30/filter(Productos!I:I,Productos!A:A=C30),1)"),1)</f>
        <v>1</v>
      </c>
      <c r="K30" s="13"/>
      <c r="L30" s="13"/>
      <c r="M30" s="4"/>
      <c r="N30" s="13"/>
      <c r="O30" s="13"/>
      <c r="P30" s="13"/>
      <c r="Q30" s="13"/>
      <c r="R30" s="13"/>
      <c r="S30" s="13"/>
      <c r="T30" s="13"/>
      <c r="U30" s="13"/>
      <c r="V30" s="13"/>
      <c r="W30" s="13"/>
      <c r="X30" s="13"/>
      <c r="Y30" s="13"/>
      <c r="Z30" s="13"/>
      <c r="AA30" s="13"/>
    </row>
    <row r="31" customFormat="false" ht="15.75" hidden="false" customHeight="true" outlineLevel="0" collapsed="false">
      <c r="A31" s="13" t="n">
        <v>10001</v>
      </c>
      <c r="B31" s="4" t="str">
        <f aca="false" t="array" ref="B31:B31">INDEX(Productos!$A:B,MATCH($A31,Productos!$A:$A),COLUMN(B31))</f>
        <v>California Maki Sésamo</v>
      </c>
      <c r="C31" s="12" t="n">
        <v>1210</v>
      </c>
      <c r="D31" s="4" t="str">
        <f aca="false" t="array" ref="D31:D31">INDEX(Productos!$A:B,MATCH($C31,Productos!$A:$A),2)</f>
        <v>Palta cortada para roll</v>
      </c>
      <c r="E31" s="12" t="n">
        <v>1</v>
      </c>
      <c r="F31" s="12" t="s">
        <v>28</v>
      </c>
      <c r="G31" s="13" t="n">
        <f aca="false">IFERROR(__xludf.dummyfunction("filter(Productos!K:K,A31=Productos!A:A)"),1)</f>
        <v>1</v>
      </c>
      <c r="H31" s="4" t="n">
        <f aca="false">G31*E31</f>
        <v>1</v>
      </c>
      <c r="I31" s="4" t="str">
        <f aca="false">F31</f>
        <v>Unid</v>
      </c>
      <c r="J31" s="14" t="n">
        <f aca="false">IFERROR(__xludf.dummyfunction("roundup(H31/filter(Productos!I:I,Productos!A:A=C31),1)"),1)</f>
        <v>1</v>
      </c>
      <c r="K31" s="13"/>
      <c r="L31" s="13"/>
      <c r="M31" s="4"/>
      <c r="N31" s="13"/>
      <c r="O31" s="13"/>
      <c r="P31" s="13"/>
      <c r="Q31" s="13"/>
      <c r="R31" s="13"/>
      <c r="S31" s="13"/>
      <c r="T31" s="13"/>
      <c r="U31" s="13"/>
      <c r="V31" s="13"/>
      <c r="W31" s="13"/>
      <c r="X31" s="13"/>
      <c r="Y31" s="13"/>
      <c r="Z31" s="13"/>
      <c r="AA31" s="13"/>
    </row>
    <row r="32" customFormat="false" ht="15.75" hidden="false" customHeight="true" outlineLevel="0" collapsed="false">
      <c r="A32" s="13" t="n">
        <v>10001</v>
      </c>
      <c r="B32" s="4" t="str">
        <f aca="false" t="array" ref="B32:B32">INDEX(Productos!$A:B,MATCH($A32,Productos!$A:$A),COLUMN(B32))</f>
        <v>California Maki Sésamo</v>
      </c>
      <c r="C32" s="12" t="n">
        <v>1211</v>
      </c>
      <c r="D32" s="4" t="str">
        <f aca="false" t="array" ref="D32:D32">INDEX(Productos!$A:B,MATCH($C32,Productos!$A:$A),2)</f>
        <v>Sésamo tostado para envoltura</v>
      </c>
      <c r="E32" s="12" t="n">
        <v>1</v>
      </c>
      <c r="F32" s="12" t="s">
        <v>28</v>
      </c>
      <c r="G32" s="13" t="n">
        <f aca="false">IFERROR(__xludf.dummyfunction("filter(Productos!K:K,A32=Productos!A:A)"),1)</f>
        <v>1</v>
      </c>
      <c r="H32" s="4" t="n">
        <f aca="false">G32*E32</f>
        <v>1</v>
      </c>
      <c r="I32" s="4" t="str">
        <f aca="false">F32</f>
        <v>Unid</v>
      </c>
      <c r="J32" s="14" t="n">
        <f aca="false">IFERROR(__xludf.dummyfunction("roundup(H32/filter(Productos!I:I,Productos!A:A=C32),1)"),1)</f>
        <v>1</v>
      </c>
      <c r="K32" s="13"/>
      <c r="L32" s="13"/>
      <c r="M32" s="4"/>
      <c r="N32" s="13"/>
      <c r="O32" s="13"/>
      <c r="P32" s="13"/>
      <c r="Q32" s="13"/>
      <c r="R32" s="13"/>
      <c r="S32" s="13"/>
      <c r="T32" s="13"/>
      <c r="U32" s="13"/>
      <c r="V32" s="13"/>
      <c r="W32" s="13"/>
      <c r="X32" s="13"/>
      <c r="Y32" s="13"/>
      <c r="Z32" s="13"/>
      <c r="AA32" s="13"/>
    </row>
    <row r="33" customFormat="false" ht="15.75" hidden="false" customHeight="true" outlineLevel="0" collapsed="false">
      <c r="A33" s="4" t="n">
        <v>10001</v>
      </c>
      <c r="B33" s="4" t="str">
        <f aca="false" t="array" ref="B33:B33">INDEX(Productos!$A:B,MATCH($A33,Productos!$A:$A),COLUMN(B33))</f>
        <v>California Maki Sésamo</v>
      </c>
      <c r="C33" s="12" t="n">
        <v>1116</v>
      </c>
      <c r="D33" s="4" t="str">
        <f aca="false" t="array" ref="D33:D33">INDEX(Productos!$A:B,MATCH($C33,Productos!$A:$A),2)</f>
        <v>Nori entero cortado para roll</v>
      </c>
      <c r="E33" s="12" t="n">
        <v>1</v>
      </c>
      <c r="F33" s="12" t="s">
        <v>28</v>
      </c>
      <c r="G33" s="13" t="n">
        <f aca="false">IFERROR(__xludf.dummyfunction("filter(Productos!K:K,A33=Productos!A:A)"),1)</f>
        <v>1</v>
      </c>
      <c r="H33" s="4" t="n">
        <f aca="false">G33*E33</f>
        <v>1</v>
      </c>
      <c r="I33" s="4" t="str">
        <f aca="false">F33</f>
        <v>Unid</v>
      </c>
      <c r="J33" s="14" t="n">
        <f aca="false">IFERROR(__xludf.dummyfunction("roundup(H33/filter(Productos!I:I,Productos!A:A=C33),1)"),1)</f>
        <v>1</v>
      </c>
      <c r="K33" s="13"/>
      <c r="L33" s="4"/>
      <c r="M33" s="4"/>
      <c r="N33" s="13"/>
      <c r="O33" s="13"/>
      <c r="P33" s="13"/>
      <c r="Q33" s="13"/>
      <c r="R33" s="13"/>
      <c r="S33" s="13"/>
      <c r="T33" s="13"/>
      <c r="U33" s="13"/>
      <c r="V33" s="13"/>
      <c r="W33" s="13"/>
      <c r="X33" s="13"/>
      <c r="Y33" s="13"/>
      <c r="Z33" s="13"/>
      <c r="AA33" s="13"/>
    </row>
    <row r="34" customFormat="false" ht="15.75" hidden="false" customHeight="true" outlineLevel="0" collapsed="false">
      <c r="A34" s="13" t="n">
        <v>10002</v>
      </c>
      <c r="B34" s="4" t="str">
        <f aca="false" t="array" ref="B34:B34">INDEX(Productos!$A:B,MATCH($A34,Productos!$A:$A),COLUMN(B34))</f>
        <v>California Maki Masago</v>
      </c>
      <c r="C34" s="12" t="n">
        <v>1201</v>
      </c>
      <c r="D34" s="4" t="str">
        <f aca="false" t="array" ref="D34:D34">INDEX(Productos!$A:B,MATCH($C34,Productos!$A:$A),2)</f>
        <v>Arroz cocido para roll</v>
      </c>
      <c r="E34" s="12" t="n">
        <v>1</v>
      </c>
      <c r="F34" s="12" t="s">
        <v>28</v>
      </c>
      <c r="G34" s="13" t="n">
        <f aca="false">IFERROR(__xludf.dummyfunction("filter(Productos!K:K,A34=Productos!A:A)"),1)</f>
        <v>1</v>
      </c>
      <c r="H34" s="4" t="n">
        <f aca="false">G34*E34</f>
        <v>1</v>
      </c>
      <c r="I34" s="4" t="str">
        <f aca="false">F34</f>
        <v>Unid</v>
      </c>
      <c r="J34" s="14" t="n">
        <f aca="false">IFERROR(__xludf.dummyfunction("roundup(H34/filter(Productos!I:I,Productos!A:A=C34),1)"),1)</f>
        <v>1</v>
      </c>
      <c r="K34" s="13"/>
      <c r="L34" s="13"/>
      <c r="M34" s="4"/>
      <c r="N34" s="13"/>
      <c r="O34" s="13"/>
      <c r="P34" s="13"/>
      <c r="Q34" s="13"/>
      <c r="R34" s="13"/>
      <c r="S34" s="13"/>
      <c r="T34" s="13"/>
      <c r="U34" s="13"/>
      <c r="V34" s="13"/>
      <c r="W34" s="13"/>
      <c r="X34" s="13"/>
      <c r="Y34" s="13"/>
      <c r="Z34" s="13"/>
      <c r="AA34" s="13"/>
    </row>
    <row r="35" customFormat="false" ht="15.75" hidden="false" customHeight="true" outlineLevel="0" collapsed="false">
      <c r="A35" s="13" t="n">
        <v>10002</v>
      </c>
      <c r="B35" s="4" t="str">
        <f aca="false" t="array" ref="B35:B35">INDEX(Productos!$A:B,MATCH($A35,Productos!$A:$A),COLUMN(B35))</f>
        <v>California Maki Masago</v>
      </c>
      <c r="C35" s="12" t="n">
        <v>1105</v>
      </c>
      <c r="D35" s="4" t="str">
        <f aca="false" t="array" ref="D35:D35">INDEX(Productos!$A:B,MATCH($C35,Productos!$A:$A),2)</f>
        <v>Kanikama para roll</v>
      </c>
      <c r="E35" s="12" t="n">
        <v>1</v>
      </c>
      <c r="F35" s="12" t="s">
        <v>28</v>
      </c>
      <c r="G35" s="13" t="n">
        <f aca="false">IFERROR(__xludf.dummyfunction("filter(Productos!K:K,A35=Productos!A:A)"),1)</f>
        <v>1</v>
      </c>
      <c r="H35" s="4" t="n">
        <f aca="false">G35*E35</f>
        <v>1</v>
      </c>
      <c r="I35" s="4" t="str">
        <f aca="false">F35</f>
        <v>Unid</v>
      </c>
      <c r="J35" s="14" t="n">
        <f aca="false">IFERROR(__xludf.dummyfunction("roundup(H35/filter(Productos!I:I,Productos!A:A=C35),1)"),1)</f>
        <v>1</v>
      </c>
      <c r="K35" s="13"/>
      <c r="L35" s="13"/>
      <c r="M35" s="4"/>
      <c r="N35" s="13"/>
      <c r="O35" s="13"/>
      <c r="P35" s="13"/>
      <c r="Q35" s="13"/>
      <c r="R35" s="13"/>
      <c r="S35" s="13"/>
      <c r="T35" s="13"/>
      <c r="U35" s="13"/>
      <c r="V35" s="13"/>
      <c r="W35" s="13"/>
      <c r="X35" s="13"/>
      <c r="Y35" s="13"/>
      <c r="Z35" s="13"/>
      <c r="AA35" s="13"/>
    </row>
    <row r="36" customFormat="false" ht="15.75" hidden="false" customHeight="true" outlineLevel="0" collapsed="false">
      <c r="A36" s="13" t="n">
        <v>10002</v>
      </c>
      <c r="B36" s="4" t="str">
        <f aca="false" t="array" ref="B36:B36">INDEX(Productos!$A:B,MATCH($A36,Productos!$A:$A),COLUMN(B36))</f>
        <v>California Maki Masago</v>
      </c>
      <c r="C36" s="12" t="n">
        <v>1013</v>
      </c>
      <c r="D36" s="4" t="str">
        <f aca="false" t="array" ref="D36:D36">INDEX(Productos!$A:B,MATCH($C36,Productos!$A:$A),2)</f>
        <v>Masago</v>
      </c>
      <c r="E36" s="12" t="n">
        <v>0.05</v>
      </c>
      <c r="F36" s="16" t="s">
        <v>17</v>
      </c>
      <c r="G36" s="13" t="n">
        <f aca="false">IFERROR(__xludf.dummyfunction("filter(Productos!K:K,A36=Productos!A:A)"),1)</f>
        <v>1</v>
      </c>
      <c r="H36" s="4" t="n">
        <f aca="false">G36*E36</f>
        <v>0.05</v>
      </c>
      <c r="I36" s="4" t="str">
        <f aca="false">F36</f>
        <v>Kg</v>
      </c>
      <c r="J36" s="14" t="n">
        <f aca="false">IFERROR(__xludf.dummyfunction("roundup(H36/filter(Productos!I:I,Productos!A:A=C36),1)"),5)</f>
        <v>5</v>
      </c>
      <c r="K36" s="13"/>
      <c r="L36" s="13"/>
      <c r="M36" s="4"/>
      <c r="N36" s="13"/>
      <c r="O36" s="13"/>
      <c r="P36" s="13"/>
      <c r="Q36" s="13"/>
      <c r="R36" s="13"/>
      <c r="S36" s="13"/>
      <c r="T36" s="13"/>
      <c r="U36" s="13"/>
      <c r="V36" s="13"/>
      <c r="W36" s="13"/>
      <c r="X36" s="13"/>
      <c r="Y36" s="13"/>
      <c r="Z36" s="13"/>
      <c r="AA36" s="13"/>
    </row>
    <row r="37" customFormat="false" ht="15.75" hidden="false" customHeight="true" outlineLevel="0" collapsed="false">
      <c r="A37" s="13" t="n">
        <v>10002</v>
      </c>
      <c r="B37" s="4" t="str">
        <f aca="false" t="array" ref="B37:B37">INDEX(Productos!$A:B,MATCH($A37,Productos!$A:$A),COLUMN(B37))</f>
        <v>California Maki Masago</v>
      </c>
      <c r="C37" s="12" t="n">
        <v>1210</v>
      </c>
      <c r="D37" s="4" t="str">
        <f aca="false" t="array" ref="D37:D37">INDEX(Productos!$A:B,MATCH($C37,Productos!$A:$A),2)</f>
        <v>Palta cortada para roll</v>
      </c>
      <c r="E37" s="12" t="n">
        <v>1</v>
      </c>
      <c r="F37" s="12" t="s">
        <v>28</v>
      </c>
      <c r="G37" s="13" t="n">
        <f aca="false">IFERROR(__xludf.dummyfunction("filter(Productos!K:K,A37=Productos!A:A)"),1)</f>
        <v>1</v>
      </c>
      <c r="H37" s="4" t="n">
        <f aca="false">G37*E37</f>
        <v>1</v>
      </c>
      <c r="I37" s="4" t="str">
        <f aca="false">F37</f>
        <v>Unid</v>
      </c>
      <c r="J37" s="14" t="n">
        <f aca="false">IFERROR(__xludf.dummyfunction("roundup(H37/filter(Productos!I:I,Productos!A:A=C37),1)"),1)</f>
        <v>1</v>
      </c>
      <c r="K37" s="13"/>
      <c r="L37" s="13"/>
      <c r="M37" s="4"/>
      <c r="N37" s="13"/>
      <c r="O37" s="13"/>
      <c r="P37" s="13"/>
      <c r="Q37" s="13"/>
      <c r="R37" s="13"/>
      <c r="S37" s="13"/>
      <c r="T37" s="13"/>
      <c r="U37" s="13"/>
      <c r="V37" s="13"/>
      <c r="W37" s="13"/>
      <c r="X37" s="13"/>
      <c r="Y37" s="13"/>
      <c r="Z37" s="13"/>
      <c r="AA37" s="13"/>
    </row>
    <row r="38" customFormat="false" ht="15.75" hidden="false" customHeight="true" outlineLevel="0" collapsed="false">
      <c r="A38" s="4" t="n">
        <v>10002</v>
      </c>
      <c r="B38" s="4" t="str">
        <f aca="false" t="array" ref="B38:B38">INDEX(Productos!$A:B,MATCH($A38,Productos!$A:$A),COLUMN(B38))</f>
        <v>California Maki Masago</v>
      </c>
      <c r="C38" s="12" t="n">
        <v>1116</v>
      </c>
      <c r="D38" s="4" t="str">
        <f aca="false" t="array" ref="D38:D38">INDEX(Productos!$A:B,MATCH($C38,Productos!$A:$A),2)</f>
        <v>Nori entero cortado para roll</v>
      </c>
      <c r="E38" s="12" t="n">
        <v>1</v>
      </c>
      <c r="F38" s="12" t="s">
        <v>28</v>
      </c>
      <c r="G38" s="13" t="n">
        <f aca="false">IFERROR(__xludf.dummyfunction("filter(Productos!K:K,A38=Productos!A:A)"),1)</f>
        <v>1</v>
      </c>
      <c r="H38" s="4" t="n">
        <f aca="false">G38*E38</f>
        <v>1</v>
      </c>
      <c r="I38" s="4" t="str">
        <f aca="false">F38</f>
        <v>Unid</v>
      </c>
      <c r="J38" s="14" t="n">
        <f aca="false">IFERROR(__xludf.dummyfunction("roundup(H38/filter(Productos!I:I,Productos!A:A=C38),1)"),1)</f>
        <v>1</v>
      </c>
      <c r="K38" s="13"/>
      <c r="L38" s="4"/>
      <c r="M38" s="4"/>
      <c r="N38" s="13"/>
      <c r="O38" s="13"/>
      <c r="P38" s="13"/>
      <c r="Q38" s="13"/>
      <c r="R38" s="13"/>
      <c r="S38" s="13"/>
      <c r="T38" s="13"/>
      <c r="U38" s="13"/>
      <c r="V38" s="13"/>
      <c r="W38" s="13"/>
      <c r="X38" s="13"/>
      <c r="Y38" s="13"/>
      <c r="Z38" s="13"/>
      <c r="AA38" s="13"/>
    </row>
    <row r="39" customFormat="false" ht="15.75" hidden="false" customHeight="true" outlineLevel="0" collapsed="false">
      <c r="A39" s="13" t="n">
        <v>10003</v>
      </c>
      <c r="B39" s="4" t="str">
        <f aca="false" t="array" ref="B39:B39">INDEX(Productos!$A:B,MATCH($A39,Productos!$A:$A),COLUMN(B39))</f>
        <v>California Maki Mix</v>
      </c>
      <c r="C39" s="12" t="n">
        <v>1201</v>
      </c>
      <c r="D39" s="4" t="str">
        <f aca="false" t="array" ref="D39:D39">INDEX(Productos!$A:B,MATCH($C39,Productos!$A:$A),2)</f>
        <v>Arroz cocido para roll</v>
      </c>
      <c r="E39" s="12" t="n">
        <v>1</v>
      </c>
      <c r="F39" s="12" t="s">
        <v>28</v>
      </c>
      <c r="G39" s="13" t="n">
        <f aca="false">IFERROR(__xludf.dummyfunction("filter(Productos!K:K,A39=Productos!A:A)"),1)</f>
        <v>1</v>
      </c>
      <c r="H39" s="4" t="n">
        <f aca="false">G39*E39</f>
        <v>1</v>
      </c>
      <c r="I39" s="4" t="str">
        <f aca="false">F39</f>
        <v>Unid</v>
      </c>
      <c r="J39" s="14" t="n">
        <f aca="false">IFERROR(__xludf.dummyfunction("roundup(H39/filter(Productos!I:I,Productos!A:A=C39),1)"),1)</f>
        <v>1</v>
      </c>
      <c r="K39" s="13"/>
      <c r="L39" s="13"/>
      <c r="M39" s="4"/>
      <c r="N39" s="13"/>
      <c r="O39" s="13"/>
      <c r="P39" s="13"/>
      <c r="Q39" s="13"/>
      <c r="R39" s="13"/>
      <c r="S39" s="13"/>
      <c r="T39" s="13"/>
      <c r="U39" s="13"/>
      <c r="V39" s="13"/>
      <c r="W39" s="13"/>
      <c r="X39" s="13"/>
      <c r="Y39" s="13"/>
      <c r="Z39" s="13"/>
      <c r="AA39" s="13"/>
    </row>
    <row r="40" customFormat="false" ht="15.75" hidden="false" customHeight="true" outlineLevel="0" collapsed="false">
      <c r="A40" s="13" t="n">
        <v>10003</v>
      </c>
      <c r="B40" s="4" t="str">
        <f aca="false" t="array" ref="B40:B40">INDEX(Productos!$A:B,MATCH($A40,Productos!$A:$A),COLUMN(B40))</f>
        <v>California Maki Mix</v>
      </c>
      <c r="C40" s="12" t="n">
        <v>1105</v>
      </c>
      <c r="D40" s="4" t="str">
        <f aca="false" t="array" ref="D40:D40">INDEX(Productos!$A:B,MATCH($C40,Productos!$A:$A),2)</f>
        <v>Kanikama para roll</v>
      </c>
      <c r="E40" s="12" t="n">
        <v>1</v>
      </c>
      <c r="F40" s="12" t="s">
        <v>28</v>
      </c>
      <c r="G40" s="13" t="n">
        <f aca="false">IFERROR(__xludf.dummyfunction("filter(Productos!K:K,A40=Productos!A:A)"),1)</f>
        <v>1</v>
      </c>
      <c r="H40" s="4" t="n">
        <f aca="false">G40*E40</f>
        <v>1</v>
      </c>
      <c r="I40" s="4" t="str">
        <f aca="false">F40</f>
        <v>Unid</v>
      </c>
      <c r="J40" s="14" t="n">
        <f aca="false">IFERROR(__xludf.dummyfunction("roundup(H40/filter(Productos!I:I,Productos!A:A=C40),1)"),1)</f>
        <v>1</v>
      </c>
      <c r="K40" s="13"/>
      <c r="L40" s="13"/>
      <c r="M40" s="4"/>
      <c r="N40" s="13"/>
      <c r="O40" s="13"/>
      <c r="P40" s="13"/>
      <c r="Q40" s="13"/>
      <c r="R40" s="13"/>
      <c r="S40" s="13"/>
      <c r="T40" s="13"/>
      <c r="U40" s="13"/>
      <c r="V40" s="13"/>
      <c r="W40" s="13"/>
      <c r="X40" s="13"/>
      <c r="Y40" s="13"/>
      <c r="Z40" s="13"/>
      <c r="AA40" s="13"/>
    </row>
    <row r="41" customFormat="false" ht="15.75" hidden="false" customHeight="true" outlineLevel="0" collapsed="false">
      <c r="A41" s="13" t="n">
        <v>10003</v>
      </c>
      <c r="B41" s="4" t="str">
        <f aca="false" t="array" ref="B41:B41">INDEX(Productos!$A:B,MATCH($A41,Productos!$A:$A),COLUMN(B41))</f>
        <v>California Maki Mix</v>
      </c>
      <c r="C41" s="12" t="n">
        <v>1013</v>
      </c>
      <c r="D41" s="4" t="str">
        <f aca="false" t="array" ref="D41:D41">INDEX(Productos!$A:B,MATCH($C41,Productos!$A:$A),2)</f>
        <v>Masago</v>
      </c>
      <c r="E41" s="12" t="n">
        <v>0.05</v>
      </c>
      <c r="F41" s="16" t="s">
        <v>17</v>
      </c>
      <c r="G41" s="13" t="n">
        <f aca="false">IFERROR(__xludf.dummyfunction("filter(Productos!K:K,A41=Productos!A:A)"),1)</f>
        <v>1</v>
      </c>
      <c r="H41" s="4" t="n">
        <f aca="false">G41*E41</f>
        <v>0.05</v>
      </c>
      <c r="I41" s="4" t="str">
        <f aca="false">F41</f>
        <v>Kg</v>
      </c>
      <c r="J41" s="14" t="n">
        <f aca="false">IFERROR(__xludf.dummyfunction("roundup(H41/filter(Productos!I:I,Productos!A:A=C41),1)"),5)</f>
        <v>5</v>
      </c>
      <c r="K41" s="13"/>
      <c r="L41" s="13"/>
      <c r="M41" s="4"/>
      <c r="N41" s="13"/>
      <c r="O41" s="13"/>
      <c r="P41" s="13"/>
      <c r="Q41" s="13"/>
      <c r="R41" s="13"/>
      <c r="S41" s="13"/>
      <c r="T41" s="13"/>
      <c r="U41" s="13"/>
      <c r="V41" s="13"/>
      <c r="W41" s="13"/>
      <c r="X41" s="13"/>
      <c r="Y41" s="13"/>
      <c r="Z41" s="13"/>
      <c r="AA41" s="13"/>
    </row>
    <row r="42" customFormat="false" ht="15.75" hidden="false" customHeight="true" outlineLevel="0" collapsed="false">
      <c r="A42" s="13" t="n">
        <v>10003</v>
      </c>
      <c r="B42" s="4" t="str">
        <f aca="false" t="array" ref="B42:B42">INDEX(Productos!$A:B,MATCH($A42,Productos!$A:$A),COLUMN(B42))</f>
        <v>California Maki Mix</v>
      </c>
      <c r="C42" s="12" t="n">
        <v>1210</v>
      </c>
      <c r="D42" s="4" t="str">
        <f aca="false" t="array" ref="D42:D42">INDEX(Productos!$A:B,MATCH($C42,Productos!$A:$A),2)</f>
        <v>Palta cortada para roll</v>
      </c>
      <c r="E42" s="12" t="n">
        <v>1</v>
      </c>
      <c r="F42" s="12" t="s">
        <v>28</v>
      </c>
      <c r="G42" s="13" t="n">
        <f aca="false">IFERROR(__xludf.dummyfunction("filter(Productos!K:K,A42=Productos!A:A)"),1)</f>
        <v>1</v>
      </c>
      <c r="H42" s="4" t="n">
        <f aca="false">G42*E42</f>
        <v>1</v>
      </c>
      <c r="I42" s="4" t="str">
        <f aca="false">F42</f>
        <v>Unid</v>
      </c>
      <c r="J42" s="14" t="n">
        <f aca="false">IFERROR(__xludf.dummyfunction("roundup(H42/filter(Productos!I:I,Productos!A:A=C42),1)"),1)</f>
        <v>1</v>
      </c>
      <c r="K42" s="13"/>
      <c r="L42" s="13"/>
      <c r="M42" s="4"/>
      <c r="N42" s="13"/>
      <c r="O42" s="13"/>
      <c r="P42" s="13"/>
      <c r="Q42" s="13"/>
      <c r="R42" s="13"/>
      <c r="S42" s="13"/>
      <c r="T42" s="13"/>
      <c r="U42" s="13"/>
      <c r="V42" s="13"/>
      <c r="W42" s="13"/>
      <c r="X42" s="13"/>
      <c r="Y42" s="13"/>
      <c r="Z42" s="13"/>
      <c r="AA42" s="13"/>
    </row>
    <row r="43" customFormat="false" ht="15.75" hidden="false" customHeight="true" outlineLevel="0" collapsed="false">
      <c r="A43" s="13" t="n">
        <v>10003</v>
      </c>
      <c r="B43" s="4" t="str">
        <f aca="false" t="array" ref="B43:B43">INDEX(Productos!$A:B,MATCH($A43,Productos!$A:$A),COLUMN(B43))</f>
        <v>California Maki Mix</v>
      </c>
      <c r="C43" s="12" t="n">
        <v>1211</v>
      </c>
      <c r="D43" s="4" t="str">
        <f aca="false" t="array" ref="D43:D43">INDEX(Productos!$A:B,MATCH($C43,Productos!$A:$A),2)</f>
        <v>Sésamo tostado para envoltura</v>
      </c>
      <c r="E43" s="12" t="n">
        <v>1</v>
      </c>
      <c r="F43" s="12" t="s">
        <v>28</v>
      </c>
      <c r="G43" s="13" t="n">
        <f aca="false">IFERROR(__xludf.dummyfunction("filter(Productos!K:K,A43=Productos!A:A)"),1)</f>
        <v>1</v>
      </c>
      <c r="H43" s="4" t="n">
        <f aca="false">G43*E43</f>
        <v>1</v>
      </c>
      <c r="I43" s="4" t="str">
        <f aca="false">F43</f>
        <v>Unid</v>
      </c>
      <c r="J43" s="14" t="n">
        <f aca="false">IFERROR(__xludf.dummyfunction("roundup(H43/filter(Productos!I:I,Productos!A:A=C43),1)"),1)</f>
        <v>1</v>
      </c>
      <c r="K43" s="13"/>
      <c r="L43" s="13"/>
      <c r="M43" s="4"/>
      <c r="N43" s="13"/>
      <c r="O43" s="13"/>
      <c r="P43" s="13"/>
      <c r="Q43" s="13"/>
      <c r="R43" s="13"/>
      <c r="S43" s="13"/>
      <c r="T43" s="13"/>
      <c r="U43" s="13"/>
      <c r="V43" s="13"/>
      <c r="W43" s="13"/>
      <c r="X43" s="13"/>
      <c r="Y43" s="13"/>
      <c r="Z43" s="13"/>
      <c r="AA43" s="13"/>
    </row>
    <row r="44" customFormat="false" ht="15.75" hidden="false" customHeight="true" outlineLevel="0" collapsed="false">
      <c r="A44" s="4" t="n">
        <v>10003</v>
      </c>
      <c r="B44" s="4" t="str">
        <f aca="false" t="array" ref="B44:B44">INDEX(Productos!$A:B,MATCH($A44,Productos!$A:$A),COLUMN(B44))</f>
        <v>California Maki Mix</v>
      </c>
      <c r="C44" s="12" t="n">
        <v>1116</v>
      </c>
      <c r="D44" s="4" t="str">
        <f aca="false" t="array" ref="D44:D44">INDEX(Productos!$A:B,MATCH($C44,Productos!$A:$A),2)</f>
        <v>Nori entero cortado para roll</v>
      </c>
      <c r="E44" s="12" t="n">
        <v>1</v>
      </c>
      <c r="F44" s="12" t="s">
        <v>28</v>
      </c>
      <c r="G44" s="13" t="n">
        <f aca="false">IFERROR(__xludf.dummyfunction("filter(Productos!K:K,A44=Productos!A:A)"),1)</f>
        <v>1</v>
      </c>
      <c r="H44" s="4" t="n">
        <f aca="false">G44*E44</f>
        <v>1</v>
      </c>
      <c r="I44" s="4" t="str">
        <f aca="false">F44</f>
        <v>Unid</v>
      </c>
      <c r="J44" s="14" t="n">
        <f aca="false">IFERROR(__xludf.dummyfunction("roundup(H44/filter(Productos!I:I,Productos!A:A=C44),1)"),1)</f>
        <v>1</v>
      </c>
      <c r="K44" s="13"/>
      <c r="L44" s="4"/>
      <c r="M44" s="4"/>
      <c r="N44" s="13"/>
      <c r="O44" s="13"/>
      <c r="P44" s="13"/>
      <c r="Q44" s="13"/>
      <c r="R44" s="13"/>
      <c r="S44" s="13"/>
      <c r="T44" s="13"/>
      <c r="U44" s="13"/>
      <c r="V44" s="13"/>
      <c r="W44" s="13"/>
      <c r="X44" s="13"/>
      <c r="Y44" s="13"/>
      <c r="Z44" s="13"/>
      <c r="AA44" s="13"/>
    </row>
    <row r="45" customFormat="false" ht="13" hidden="false" customHeight="false" outlineLevel="0" collapsed="false">
      <c r="A45" s="13" t="n">
        <v>10004</v>
      </c>
      <c r="B45" s="4" t="str">
        <f aca="false" t="array" ref="B45:B45">INDEX(Productos!$A:B,MATCH($A45,Productos!$A:$A),COLUMN(B45))</f>
        <v>California Ebi Sésamo</v>
      </c>
      <c r="C45" s="12" t="n">
        <v>1201</v>
      </c>
      <c r="D45" s="4" t="str">
        <f aca="false" t="array" ref="D45:D45">INDEX(Productos!$A:B,MATCH($C45,Productos!$A:$A),2)</f>
        <v>Arroz cocido para roll</v>
      </c>
      <c r="E45" s="12" t="n">
        <v>1</v>
      </c>
      <c r="F45" s="12" t="s">
        <v>28</v>
      </c>
      <c r="G45" s="13" t="n">
        <f aca="false">IFERROR(__xludf.dummyfunction("filter(Productos!K:K,A45=Productos!A:A)"),1)</f>
        <v>1</v>
      </c>
      <c r="H45" s="4" t="n">
        <f aca="false">G45*E45</f>
        <v>1</v>
      </c>
      <c r="I45" s="4" t="str">
        <f aca="false">F45</f>
        <v>Unid</v>
      </c>
      <c r="J45" s="14" t="n">
        <f aca="false">IFERROR(__xludf.dummyfunction("roundup(H45/filter(Productos!I:I,Productos!A:A=C45),1)"),1)</f>
        <v>1</v>
      </c>
      <c r="K45" s="13"/>
      <c r="L45" s="13"/>
      <c r="M45" s="4"/>
      <c r="N45" s="13"/>
      <c r="O45" s="13"/>
      <c r="P45" s="13"/>
      <c r="Q45" s="13"/>
      <c r="R45" s="13"/>
      <c r="S45" s="13"/>
      <c r="T45" s="13"/>
      <c r="U45" s="13"/>
      <c r="V45" s="13"/>
      <c r="W45" s="13"/>
      <c r="X45" s="13"/>
      <c r="Y45" s="13"/>
      <c r="Z45" s="13"/>
      <c r="AA45" s="13"/>
    </row>
    <row r="46" customFormat="false" ht="13" hidden="false" customHeight="false" outlineLevel="0" collapsed="false">
      <c r="A46" s="13" t="n">
        <v>10004</v>
      </c>
      <c r="B46" s="4" t="str">
        <f aca="false" t="array" ref="B46:B46">INDEX(Productos!$A:B,MATCH($A46,Productos!$A:$A),COLUMN(B46))</f>
        <v>California Ebi Sésamo</v>
      </c>
      <c r="C46" s="12" t="n">
        <v>1106</v>
      </c>
      <c r="D46" s="4" t="str">
        <f aca="false" t="array" ref="D46:D46">INDEX(Productos!$A:B,MATCH($C46,Productos!$A:$A),2)</f>
        <v>Camarón cocido</v>
      </c>
      <c r="E46" s="12" t="n">
        <v>4</v>
      </c>
      <c r="F46" s="16" t="s">
        <v>28</v>
      </c>
      <c r="G46" s="13" t="n">
        <f aca="false">IFERROR(__xludf.dummyfunction("filter(Productos!K:K,A46=Productos!A:A)"),1)</f>
        <v>1</v>
      </c>
      <c r="H46" s="4" t="n">
        <f aca="false">G46*E46</f>
        <v>4</v>
      </c>
      <c r="I46" s="4" t="str">
        <f aca="false">F46</f>
        <v>Unid</v>
      </c>
      <c r="J46" s="14" t="n">
        <f aca="false">IFERROR(__xludf.dummyfunction("roundup(H46/filter(Productos!I:I,Productos!A:A=C46),1)"),4)</f>
        <v>4</v>
      </c>
      <c r="K46" s="13"/>
      <c r="L46" s="13"/>
      <c r="M46" s="4"/>
      <c r="N46" s="13"/>
      <c r="O46" s="13"/>
      <c r="P46" s="13"/>
      <c r="Q46" s="13"/>
      <c r="R46" s="13"/>
      <c r="S46" s="13"/>
      <c r="T46" s="13"/>
      <c r="U46" s="13"/>
      <c r="V46" s="13"/>
      <c r="W46" s="13"/>
      <c r="X46" s="13"/>
      <c r="Y46" s="13"/>
      <c r="Z46" s="13"/>
      <c r="AA46" s="13"/>
    </row>
    <row r="47" customFormat="false" ht="13" hidden="false" customHeight="false" outlineLevel="0" collapsed="false">
      <c r="A47" s="13" t="n">
        <v>10004</v>
      </c>
      <c r="B47" s="4" t="str">
        <f aca="false" t="array" ref="B47:B47">INDEX(Productos!$A:B,MATCH($A47,Productos!$A:$A),COLUMN(B47))</f>
        <v>California Ebi Sésamo</v>
      </c>
      <c r="C47" s="12" t="n">
        <v>1210</v>
      </c>
      <c r="D47" s="4" t="str">
        <f aca="false" t="array" ref="D47:D47">INDEX(Productos!$A:B,MATCH($C47,Productos!$A:$A),2)</f>
        <v>Palta cortada para roll</v>
      </c>
      <c r="E47" s="12" t="n">
        <v>1</v>
      </c>
      <c r="F47" s="12" t="s">
        <v>28</v>
      </c>
      <c r="G47" s="13" t="n">
        <f aca="false">IFERROR(__xludf.dummyfunction("filter(Productos!K:K,A47=Productos!A:A)"),1)</f>
        <v>1</v>
      </c>
      <c r="H47" s="4" t="n">
        <f aca="false">G47*E47</f>
        <v>1</v>
      </c>
      <c r="I47" s="4" t="str">
        <f aca="false">F47</f>
        <v>Unid</v>
      </c>
      <c r="J47" s="14" t="n">
        <f aca="false">IFERROR(__xludf.dummyfunction("roundup(H47/filter(Productos!I:I,Productos!A:A=C47),1)"),1)</f>
        <v>1</v>
      </c>
      <c r="K47" s="13"/>
      <c r="L47" s="13"/>
      <c r="M47" s="4"/>
      <c r="N47" s="13"/>
      <c r="O47" s="13"/>
      <c r="P47" s="13"/>
      <c r="Q47" s="13"/>
      <c r="R47" s="13"/>
      <c r="S47" s="13"/>
      <c r="T47" s="13"/>
      <c r="U47" s="13"/>
      <c r="V47" s="13"/>
      <c r="W47" s="13"/>
      <c r="X47" s="13"/>
      <c r="Y47" s="13"/>
      <c r="Z47" s="13"/>
      <c r="AA47" s="13"/>
    </row>
    <row r="48" customFormat="false" ht="13" hidden="false" customHeight="false" outlineLevel="0" collapsed="false">
      <c r="A48" s="13" t="n">
        <v>10004</v>
      </c>
      <c r="B48" s="4" t="str">
        <f aca="false" t="array" ref="B48:B48">INDEX(Productos!$A:B,MATCH($A48,Productos!$A:$A),COLUMN(B48))</f>
        <v>California Ebi Sésamo</v>
      </c>
      <c r="C48" s="12" t="n">
        <v>1211</v>
      </c>
      <c r="D48" s="4" t="str">
        <f aca="false" t="array" ref="D48:D48">INDEX(Productos!$A:B,MATCH($C48,Productos!$A:$A),2)</f>
        <v>Sésamo tostado para envoltura</v>
      </c>
      <c r="E48" s="12" t="n">
        <v>1</v>
      </c>
      <c r="F48" s="12" t="s">
        <v>28</v>
      </c>
      <c r="G48" s="13" t="n">
        <f aca="false">IFERROR(__xludf.dummyfunction("filter(Productos!K:K,A48=Productos!A:A)"),1)</f>
        <v>1</v>
      </c>
      <c r="H48" s="4" t="n">
        <f aca="false">G48*E48</f>
        <v>1</v>
      </c>
      <c r="I48" s="4" t="str">
        <f aca="false">F48</f>
        <v>Unid</v>
      </c>
      <c r="J48" s="14" t="n">
        <f aca="false">IFERROR(__xludf.dummyfunction("roundup(H48/filter(Productos!I:I,Productos!A:A=C48),1)"),1)</f>
        <v>1</v>
      </c>
      <c r="K48" s="13"/>
      <c r="L48" s="13"/>
      <c r="M48" s="4"/>
      <c r="N48" s="13"/>
      <c r="O48" s="13"/>
      <c r="P48" s="13"/>
      <c r="Q48" s="13"/>
      <c r="R48" s="13"/>
      <c r="S48" s="13"/>
      <c r="T48" s="13"/>
      <c r="U48" s="13"/>
      <c r="V48" s="13"/>
      <c r="W48" s="13"/>
      <c r="X48" s="13"/>
      <c r="Y48" s="13"/>
      <c r="Z48" s="13"/>
      <c r="AA48" s="13"/>
    </row>
    <row r="49" customFormat="false" ht="13" hidden="false" customHeight="false" outlineLevel="0" collapsed="false">
      <c r="A49" s="13" t="n">
        <v>10004</v>
      </c>
      <c r="B49" s="4" t="str">
        <f aca="false" t="array" ref="B49:B49">INDEX(Productos!$A:B,MATCH($A49,Productos!$A:$A),COLUMN(B49))</f>
        <v>California Ebi Sésamo</v>
      </c>
      <c r="C49" s="12" t="n">
        <v>1116</v>
      </c>
      <c r="D49" s="4" t="str">
        <f aca="false" t="array" ref="D49:D49">INDEX(Productos!$A:B,MATCH($C49,Productos!$A:$A),2)</f>
        <v>Nori entero cortado para roll</v>
      </c>
      <c r="E49" s="12" t="n">
        <v>1</v>
      </c>
      <c r="F49" s="12" t="s">
        <v>28</v>
      </c>
      <c r="G49" s="13" t="n">
        <f aca="false">IFERROR(__xludf.dummyfunction("filter(Productos!K:K,A49=Productos!A:A)"),1)</f>
        <v>1</v>
      </c>
      <c r="H49" s="4" t="n">
        <f aca="false">G49*E49</f>
        <v>1</v>
      </c>
      <c r="I49" s="4" t="str">
        <f aca="false">F49</f>
        <v>Unid</v>
      </c>
      <c r="J49" s="14" t="n">
        <f aca="false">IFERROR(__xludf.dummyfunction("roundup(H49/filter(Productos!I:I,Productos!A:A=C49),1)"),1)</f>
        <v>1</v>
      </c>
      <c r="K49" s="13"/>
      <c r="L49" s="13"/>
      <c r="M49" s="4"/>
      <c r="N49" s="13"/>
      <c r="O49" s="13"/>
      <c r="P49" s="13"/>
      <c r="Q49" s="13"/>
      <c r="R49" s="13"/>
      <c r="S49" s="13"/>
      <c r="T49" s="13"/>
      <c r="U49" s="13"/>
      <c r="V49" s="13"/>
      <c r="W49" s="13"/>
      <c r="X49" s="13"/>
      <c r="Y49" s="13"/>
      <c r="Z49" s="13"/>
      <c r="AA49" s="13"/>
    </row>
    <row r="50" customFormat="false" ht="13" hidden="false" customHeight="false" outlineLevel="0" collapsed="false">
      <c r="A50" s="13" t="n">
        <v>10005</v>
      </c>
      <c r="B50" s="4" t="str">
        <f aca="false" t="array" ref="B50:B50">INDEX(Productos!$A:B,MATCH($A50,Productos!$A:$A),COLUMN(B50))</f>
        <v>California Ebi Masago</v>
      </c>
      <c r="C50" s="12" t="n">
        <v>1201</v>
      </c>
      <c r="D50" s="4" t="str">
        <f aca="false" t="array" ref="D50:D50">INDEX(Productos!$A:B,MATCH($C50,Productos!$A:$A),2)</f>
        <v>Arroz cocido para roll</v>
      </c>
      <c r="E50" s="12" t="n">
        <v>1</v>
      </c>
      <c r="F50" s="12" t="s">
        <v>28</v>
      </c>
      <c r="G50" s="13" t="n">
        <f aca="false">IFERROR(__xludf.dummyfunction("filter(Productos!K:K,A50=Productos!A:A)"),1)</f>
        <v>1</v>
      </c>
      <c r="H50" s="4" t="n">
        <f aca="false">G50*E50</f>
        <v>1</v>
      </c>
      <c r="I50" s="4" t="str">
        <f aca="false">F50</f>
        <v>Unid</v>
      </c>
      <c r="J50" s="14" t="n">
        <f aca="false">IFERROR(__xludf.dummyfunction("roundup(H50/filter(Productos!I:I,Productos!A:A=C50),1)"),1)</f>
        <v>1</v>
      </c>
      <c r="K50" s="13"/>
      <c r="L50" s="13"/>
      <c r="M50" s="4"/>
      <c r="N50" s="13"/>
      <c r="O50" s="13"/>
      <c r="P50" s="13"/>
      <c r="Q50" s="13"/>
      <c r="R50" s="13"/>
      <c r="S50" s="13"/>
      <c r="T50" s="13"/>
      <c r="U50" s="13"/>
      <c r="V50" s="13"/>
      <c r="W50" s="13"/>
      <c r="X50" s="13"/>
      <c r="Y50" s="13"/>
      <c r="Z50" s="13"/>
      <c r="AA50" s="13"/>
    </row>
    <row r="51" customFormat="false" ht="13" hidden="false" customHeight="false" outlineLevel="0" collapsed="false">
      <c r="A51" s="13" t="n">
        <v>10005</v>
      </c>
      <c r="B51" s="4" t="str">
        <f aca="false" t="array" ref="B51:B51">INDEX(Productos!$A:B,MATCH($A51,Productos!$A:$A),COLUMN(B51))</f>
        <v>California Ebi Masago</v>
      </c>
      <c r="C51" s="12" t="n">
        <v>1106</v>
      </c>
      <c r="D51" s="4" t="str">
        <f aca="false" t="array" ref="D51:D51">INDEX(Productos!$A:B,MATCH($C51,Productos!$A:$A),2)</f>
        <v>Camarón cocido</v>
      </c>
      <c r="E51" s="12" t="n">
        <v>4</v>
      </c>
      <c r="F51" s="16" t="s">
        <v>28</v>
      </c>
      <c r="G51" s="13" t="n">
        <f aca="false">IFERROR(__xludf.dummyfunction("filter(Productos!K:K,A51=Productos!A:A)"),1)</f>
        <v>1</v>
      </c>
      <c r="H51" s="4" t="n">
        <f aca="false">G51*E51</f>
        <v>4</v>
      </c>
      <c r="I51" s="4" t="str">
        <f aca="false">F51</f>
        <v>Unid</v>
      </c>
      <c r="J51" s="14" t="n">
        <f aca="false">IFERROR(__xludf.dummyfunction("roundup(H51/filter(Productos!I:I,Productos!A:A=C51),1)"),4)</f>
        <v>4</v>
      </c>
      <c r="K51" s="13"/>
      <c r="L51" s="13"/>
      <c r="M51" s="4"/>
      <c r="N51" s="13"/>
      <c r="O51" s="13"/>
      <c r="P51" s="13"/>
      <c r="Q51" s="13"/>
      <c r="R51" s="13"/>
      <c r="S51" s="13"/>
      <c r="T51" s="13"/>
      <c r="U51" s="13"/>
      <c r="V51" s="13"/>
      <c r="W51" s="13"/>
      <c r="X51" s="13"/>
      <c r="Y51" s="13"/>
      <c r="Z51" s="13"/>
      <c r="AA51" s="13"/>
    </row>
    <row r="52" customFormat="false" ht="13" hidden="false" customHeight="false" outlineLevel="0" collapsed="false">
      <c r="A52" s="13" t="n">
        <v>10005</v>
      </c>
      <c r="B52" s="4" t="str">
        <f aca="false" t="array" ref="B52:B52">INDEX(Productos!$A:B,MATCH($A52,Productos!$A:$A),COLUMN(B52))</f>
        <v>California Ebi Masago</v>
      </c>
      <c r="C52" s="12" t="n">
        <v>1013</v>
      </c>
      <c r="D52" s="4" t="str">
        <f aca="false" t="array" ref="D52:D52">INDEX(Productos!$A:B,MATCH($C52,Productos!$A:$A),2)</f>
        <v>Masago</v>
      </c>
      <c r="E52" s="12" t="n">
        <v>0.05</v>
      </c>
      <c r="F52" s="16" t="s">
        <v>17</v>
      </c>
      <c r="G52" s="13" t="n">
        <f aca="false">IFERROR(__xludf.dummyfunction("filter(Productos!K:K,A52=Productos!A:A)"),1)</f>
        <v>1</v>
      </c>
      <c r="H52" s="4" t="n">
        <f aca="false">G52*E52</f>
        <v>0.05</v>
      </c>
      <c r="I52" s="4" t="str">
        <f aca="false">F52</f>
        <v>Kg</v>
      </c>
      <c r="J52" s="14" t="n">
        <f aca="false">IFERROR(__xludf.dummyfunction("roundup(H52/filter(Productos!I:I,Productos!A:A=C52),1)"),5)</f>
        <v>5</v>
      </c>
      <c r="K52" s="13"/>
      <c r="L52" s="13"/>
      <c r="M52" s="4"/>
      <c r="N52" s="13"/>
      <c r="O52" s="13"/>
      <c r="P52" s="13"/>
      <c r="Q52" s="13"/>
      <c r="R52" s="13"/>
      <c r="S52" s="13"/>
      <c r="T52" s="13"/>
      <c r="U52" s="13"/>
      <c r="V52" s="13"/>
      <c r="W52" s="13"/>
      <c r="X52" s="13"/>
      <c r="Y52" s="13"/>
      <c r="Z52" s="13"/>
      <c r="AA52" s="13"/>
    </row>
    <row r="53" customFormat="false" ht="13" hidden="false" customHeight="false" outlineLevel="0" collapsed="false">
      <c r="A53" s="13" t="n">
        <v>10005</v>
      </c>
      <c r="B53" s="4" t="str">
        <f aca="false" t="array" ref="B53:B53">INDEX(Productos!$A:B,MATCH($A53,Productos!$A:$A),COLUMN(B53))</f>
        <v>California Ebi Masago</v>
      </c>
      <c r="C53" s="12" t="n">
        <v>1210</v>
      </c>
      <c r="D53" s="4" t="str">
        <f aca="false" t="array" ref="D53:D53">INDEX(Productos!$A:B,MATCH($C53,Productos!$A:$A),2)</f>
        <v>Palta cortada para roll</v>
      </c>
      <c r="E53" s="12" t="n">
        <v>1</v>
      </c>
      <c r="F53" s="12" t="s">
        <v>28</v>
      </c>
      <c r="G53" s="13" t="n">
        <f aca="false">IFERROR(__xludf.dummyfunction("filter(Productos!K:K,A53=Productos!A:A)"),1)</f>
        <v>1</v>
      </c>
      <c r="H53" s="4" t="n">
        <f aca="false">G53*E53</f>
        <v>1</v>
      </c>
      <c r="I53" s="4" t="str">
        <f aca="false">F53</f>
        <v>Unid</v>
      </c>
      <c r="J53" s="14" t="n">
        <f aca="false">IFERROR(__xludf.dummyfunction("roundup(H53/filter(Productos!I:I,Productos!A:A=C53),1)"),1)</f>
        <v>1</v>
      </c>
      <c r="K53" s="13"/>
      <c r="L53" s="13"/>
      <c r="M53" s="4"/>
      <c r="N53" s="13"/>
      <c r="O53" s="13"/>
      <c r="P53" s="13"/>
      <c r="Q53" s="13"/>
      <c r="R53" s="13"/>
      <c r="S53" s="13"/>
      <c r="T53" s="13"/>
      <c r="U53" s="13"/>
      <c r="V53" s="13"/>
      <c r="W53" s="13"/>
      <c r="X53" s="13"/>
      <c r="Y53" s="13"/>
      <c r="Z53" s="13"/>
      <c r="AA53" s="13"/>
    </row>
    <row r="54" customFormat="false" ht="13" hidden="false" customHeight="false" outlineLevel="0" collapsed="false">
      <c r="A54" s="13" t="n">
        <v>10005</v>
      </c>
      <c r="B54" s="4" t="str">
        <f aca="false" t="array" ref="B54:B54">INDEX(Productos!$A:B,MATCH($A54,Productos!$A:$A),COLUMN(B54))</f>
        <v>California Ebi Masago</v>
      </c>
      <c r="C54" s="12" t="n">
        <v>1116</v>
      </c>
      <c r="D54" s="4" t="str">
        <f aca="false" t="array" ref="D54:D54">INDEX(Productos!$A:B,MATCH($C54,Productos!$A:$A),2)</f>
        <v>Nori entero cortado para roll</v>
      </c>
      <c r="E54" s="12" t="n">
        <v>1</v>
      </c>
      <c r="F54" s="12" t="s">
        <v>28</v>
      </c>
      <c r="G54" s="13" t="n">
        <f aca="false">IFERROR(__xludf.dummyfunction("filter(Productos!K:K,A54=Productos!A:A)"),1)</f>
        <v>1</v>
      </c>
      <c r="H54" s="4" t="n">
        <f aca="false">G54*E54</f>
        <v>1</v>
      </c>
      <c r="I54" s="4" t="str">
        <f aca="false">F54</f>
        <v>Unid</v>
      </c>
      <c r="J54" s="14" t="n">
        <f aca="false">IFERROR(__xludf.dummyfunction("roundup(H54/filter(Productos!I:I,Productos!A:A=C54),1)"),1)</f>
        <v>1</v>
      </c>
      <c r="K54" s="13"/>
      <c r="L54" s="13"/>
      <c r="M54" s="4"/>
      <c r="N54" s="13"/>
      <c r="O54" s="13"/>
      <c r="P54" s="13"/>
      <c r="Q54" s="13"/>
      <c r="R54" s="13"/>
      <c r="S54" s="13"/>
      <c r="T54" s="13"/>
      <c r="U54" s="13"/>
      <c r="V54" s="13"/>
      <c r="W54" s="13"/>
      <c r="X54" s="13"/>
      <c r="Y54" s="13"/>
      <c r="Z54" s="13"/>
      <c r="AA54" s="13"/>
    </row>
    <row r="55" customFormat="false" ht="13" hidden="false" customHeight="false" outlineLevel="0" collapsed="false">
      <c r="A55" s="13" t="n">
        <v>10006</v>
      </c>
      <c r="B55" s="4" t="str">
        <f aca="false" t="array" ref="B55:B55">INDEX(Productos!$A:B,MATCH($A55,Productos!$A:$A),COLUMN(B55))</f>
        <v>California Sake Sésamo</v>
      </c>
      <c r="C55" s="12" t="n">
        <v>1201</v>
      </c>
      <c r="D55" s="4" t="str">
        <f aca="false" t="array" ref="D55:D55">INDEX(Productos!$A:B,MATCH($C55,Productos!$A:$A),2)</f>
        <v>Arroz cocido para roll</v>
      </c>
      <c r="E55" s="12" t="n">
        <v>1</v>
      </c>
      <c r="F55" s="12" t="s">
        <v>28</v>
      </c>
      <c r="G55" s="13" t="n">
        <f aca="false">IFERROR(__xludf.dummyfunction("filter(Productos!K:K,A55=Productos!A:A)"),1)</f>
        <v>1</v>
      </c>
      <c r="H55" s="4" t="n">
        <f aca="false">G55*E55</f>
        <v>1</v>
      </c>
      <c r="I55" s="4" t="str">
        <f aca="false">F55</f>
        <v>Unid</v>
      </c>
      <c r="J55" s="14" t="n">
        <f aca="false">IFERROR(__xludf.dummyfunction("roundup(H55/filter(Productos!I:I,Productos!A:A=C55),1)"),1)</f>
        <v>1</v>
      </c>
      <c r="K55" s="13"/>
      <c r="L55" s="13"/>
      <c r="M55" s="4"/>
      <c r="N55" s="13"/>
      <c r="O55" s="13"/>
      <c r="P55" s="13"/>
      <c r="Q55" s="13"/>
      <c r="R55" s="13"/>
      <c r="S55" s="13"/>
      <c r="T55" s="13"/>
      <c r="U55" s="13"/>
      <c r="V55" s="13"/>
      <c r="W55" s="13"/>
      <c r="X55" s="13"/>
      <c r="Y55" s="13"/>
      <c r="Z55" s="13"/>
      <c r="AA55" s="13"/>
    </row>
    <row r="56" customFormat="false" ht="13" hidden="false" customHeight="false" outlineLevel="0" collapsed="false">
      <c r="A56" s="13" t="n">
        <v>10006</v>
      </c>
      <c r="B56" s="4" t="str">
        <f aca="false" t="array" ref="B56:B56">INDEX(Productos!$A:B,MATCH($A56,Productos!$A:$A),COLUMN(B56))</f>
        <v>California Sake Sésamo</v>
      </c>
      <c r="C56" s="12" t="n">
        <v>1210</v>
      </c>
      <c r="D56" s="4" t="str">
        <f aca="false" t="array" ref="D56:D56">INDEX(Productos!$A:B,MATCH($C56,Productos!$A:$A),2)</f>
        <v>Palta cortada para roll</v>
      </c>
      <c r="E56" s="12" t="n">
        <v>1</v>
      </c>
      <c r="F56" s="12" t="s">
        <v>28</v>
      </c>
      <c r="G56" s="13" t="n">
        <f aca="false">IFERROR(__xludf.dummyfunction("filter(Productos!K:K,A56=Productos!A:A)"),1)</f>
        <v>1</v>
      </c>
      <c r="H56" s="4" t="n">
        <f aca="false">G56*E56</f>
        <v>1</v>
      </c>
      <c r="I56" s="4" t="str">
        <f aca="false">F56</f>
        <v>Unid</v>
      </c>
      <c r="J56" s="14" t="n">
        <f aca="false">IFERROR(__xludf.dummyfunction("roundup(H56/filter(Productos!I:I,Productos!A:A=C56),1)"),1)</f>
        <v>1</v>
      </c>
      <c r="K56" s="13"/>
      <c r="L56" s="13"/>
      <c r="M56" s="4"/>
      <c r="N56" s="13"/>
      <c r="O56" s="13"/>
      <c r="P56" s="13"/>
      <c r="Q56" s="13"/>
      <c r="R56" s="13"/>
      <c r="S56" s="13"/>
      <c r="T56" s="13"/>
      <c r="U56" s="13"/>
      <c r="V56" s="13"/>
      <c r="W56" s="13"/>
      <c r="X56" s="13"/>
      <c r="Y56" s="13"/>
      <c r="Z56" s="13"/>
      <c r="AA56" s="13"/>
    </row>
    <row r="57" customFormat="false" ht="13" hidden="false" customHeight="false" outlineLevel="0" collapsed="false">
      <c r="A57" s="13" t="n">
        <v>10006</v>
      </c>
      <c r="B57" s="4" t="str">
        <f aca="false" t="array" ref="B57:B57">INDEX(Productos!$A:B,MATCH($A57,Productos!$A:$A),COLUMN(B57))</f>
        <v>California Sake Sésamo</v>
      </c>
      <c r="C57" s="12" t="n">
        <v>1107</v>
      </c>
      <c r="D57" s="4" t="str">
        <f aca="false" t="array" ref="D57:D57">INDEX(Productos!$A:B,MATCH($C57,Productos!$A:$A),2)</f>
        <v>Salmón cortado para roll</v>
      </c>
      <c r="E57" s="12" t="n">
        <v>1</v>
      </c>
      <c r="F57" s="12" t="s">
        <v>28</v>
      </c>
      <c r="G57" s="13" t="n">
        <f aca="false">IFERROR(__xludf.dummyfunction("filter(Productos!K:K,A57=Productos!A:A)"),1)</f>
        <v>1</v>
      </c>
      <c r="H57" s="4" t="n">
        <f aca="false">G57*E57</f>
        <v>1</v>
      </c>
      <c r="I57" s="4" t="str">
        <f aca="false">F57</f>
        <v>Unid</v>
      </c>
      <c r="J57" s="14" t="n">
        <f aca="false">IFERROR(__xludf.dummyfunction("roundup(H57/filter(Productos!I:I,Productos!A:A=C57),1)"),1)</f>
        <v>1</v>
      </c>
      <c r="K57" s="13"/>
      <c r="L57" s="13"/>
      <c r="M57" s="4"/>
      <c r="N57" s="13"/>
      <c r="O57" s="13"/>
      <c r="P57" s="13"/>
      <c r="Q57" s="13"/>
      <c r="R57" s="13"/>
      <c r="S57" s="13"/>
      <c r="T57" s="13"/>
      <c r="U57" s="13"/>
      <c r="V57" s="13"/>
      <c r="W57" s="13"/>
      <c r="X57" s="13"/>
      <c r="Y57" s="13"/>
      <c r="Z57" s="13"/>
      <c r="AA57" s="13"/>
    </row>
    <row r="58" customFormat="false" ht="13" hidden="false" customHeight="false" outlineLevel="0" collapsed="false">
      <c r="A58" s="13" t="n">
        <v>10006</v>
      </c>
      <c r="B58" s="4" t="str">
        <f aca="false" t="array" ref="B58:B58">INDEX(Productos!$A:B,MATCH($A58,Productos!$A:$A),COLUMN(B58))</f>
        <v>California Sake Sésamo</v>
      </c>
      <c r="C58" s="12" t="n">
        <v>1211</v>
      </c>
      <c r="D58" s="4" t="str">
        <f aca="false" t="array" ref="D58:D58">INDEX(Productos!$A:B,MATCH($C58,Productos!$A:$A),2)</f>
        <v>Sésamo tostado para envoltura</v>
      </c>
      <c r="E58" s="12" t="n">
        <v>1</v>
      </c>
      <c r="F58" s="12" t="s">
        <v>28</v>
      </c>
      <c r="G58" s="13" t="n">
        <f aca="false">IFERROR(__xludf.dummyfunction("filter(Productos!K:K,A58=Productos!A:A)"),1)</f>
        <v>1</v>
      </c>
      <c r="H58" s="4" t="n">
        <f aca="false">G58*E58</f>
        <v>1</v>
      </c>
      <c r="I58" s="4" t="str">
        <f aca="false">F58</f>
        <v>Unid</v>
      </c>
      <c r="J58" s="14" t="n">
        <f aca="false">IFERROR(__xludf.dummyfunction("roundup(H58/filter(Productos!I:I,Productos!A:A=C58),1)"),1)</f>
        <v>1</v>
      </c>
      <c r="K58" s="13"/>
      <c r="L58" s="13"/>
      <c r="M58" s="4"/>
      <c r="N58" s="13"/>
      <c r="O58" s="13"/>
      <c r="P58" s="13"/>
      <c r="Q58" s="13"/>
      <c r="R58" s="13"/>
      <c r="S58" s="13"/>
      <c r="T58" s="13"/>
      <c r="U58" s="13"/>
      <c r="V58" s="13"/>
      <c r="W58" s="13"/>
      <c r="X58" s="13"/>
      <c r="Y58" s="13"/>
      <c r="Z58" s="13"/>
      <c r="AA58" s="13"/>
    </row>
    <row r="59" customFormat="false" ht="13" hidden="false" customHeight="false" outlineLevel="0" collapsed="false">
      <c r="A59" s="4" t="n">
        <v>10006</v>
      </c>
      <c r="B59" s="4" t="str">
        <f aca="false" t="array" ref="B59:B59">INDEX(Productos!$A:B,MATCH($A59,Productos!$A:$A),COLUMN(B59))</f>
        <v>California Sake Sésamo</v>
      </c>
      <c r="C59" s="12" t="n">
        <v>1116</v>
      </c>
      <c r="D59" s="4" t="str">
        <f aca="false" t="array" ref="D59:D59">INDEX(Productos!$A:B,MATCH($C59,Productos!$A:$A),2)</f>
        <v>Nori entero cortado para roll</v>
      </c>
      <c r="E59" s="12" t="n">
        <v>1</v>
      </c>
      <c r="F59" s="12" t="s">
        <v>28</v>
      </c>
      <c r="G59" s="13" t="n">
        <f aca="false">IFERROR(__xludf.dummyfunction("filter(Productos!K:K,A59=Productos!A:A)"),1)</f>
        <v>1</v>
      </c>
      <c r="H59" s="4" t="n">
        <f aca="false">G59*E59</f>
        <v>1</v>
      </c>
      <c r="I59" s="4" t="str">
        <f aca="false">F59</f>
        <v>Unid</v>
      </c>
      <c r="J59" s="14" t="n">
        <f aca="false">IFERROR(__xludf.dummyfunction("roundup(H59/filter(Productos!I:I,Productos!A:A=C59),1)"),1)</f>
        <v>1</v>
      </c>
      <c r="K59" s="13"/>
      <c r="L59" s="4"/>
      <c r="M59" s="4"/>
      <c r="N59" s="13"/>
      <c r="O59" s="13"/>
      <c r="P59" s="13"/>
      <c r="Q59" s="13"/>
      <c r="R59" s="13"/>
      <c r="S59" s="13"/>
      <c r="T59" s="13"/>
      <c r="U59" s="13"/>
      <c r="V59" s="13"/>
      <c r="W59" s="13"/>
      <c r="X59" s="13"/>
      <c r="Y59" s="13"/>
      <c r="Z59" s="13"/>
      <c r="AA59" s="13"/>
    </row>
    <row r="60" customFormat="false" ht="13" hidden="false" customHeight="false" outlineLevel="0" collapsed="false">
      <c r="A60" s="13" t="n">
        <v>10007</v>
      </c>
      <c r="B60" s="4" t="str">
        <f aca="false" t="array" ref="B60:B60">INDEX(Productos!$A:B,MATCH($A60,Productos!$A:$A),COLUMN(B60))</f>
        <v>California Sake Masago</v>
      </c>
      <c r="C60" s="12" t="n">
        <v>1201</v>
      </c>
      <c r="D60" s="4" t="str">
        <f aca="false" t="array" ref="D60:D60">INDEX(Productos!$A:B,MATCH($C60,Productos!$A:$A),2)</f>
        <v>Arroz cocido para roll</v>
      </c>
      <c r="E60" s="12" t="n">
        <v>1</v>
      </c>
      <c r="F60" s="12" t="s">
        <v>28</v>
      </c>
      <c r="G60" s="13" t="n">
        <f aca="false">IFERROR(__xludf.dummyfunction("filter(Productos!K:K,A60=Productos!A:A)"),1)</f>
        <v>1</v>
      </c>
      <c r="H60" s="4" t="n">
        <f aca="false">G60*E60</f>
        <v>1</v>
      </c>
      <c r="I60" s="4" t="str">
        <f aca="false">F60</f>
        <v>Unid</v>
      </c>
      <c r="J60" s="14" t="n">
        <f aca="false">IFERROR(__xludf.dummyfunction("roundup(H60/filter(Productos!I:I,Productos!A:A=C60),1)"),1)</f>
        <v>1</v>
      </c>
      <c r="K60" s="13"/>
      <c r="L60" s="13"/>
      <c r="M60" s="4"/>
      <c r="N60" s="13"/>
      <c r="O60" s="13"/>
      <c r="P60" s="13"/>
      <c r="Q60" s="13"/>
      <c r="R60" s="13"/>
      <c r="S60" s="13"/>
      <c r="T60" s="13"/>
      <c r="U60" s="13"/>
      <c r="V60" s="13"/>
      <c r="W60" s="13"/>
      <c r="X60" s="13"/>
      <c r="Y60" s="13"/>
      <c r="Z60" s="13"/>
      <c r="AA60" s="13"/>
    </row>
    <row r="61" customFormat="false" ht="13" hidden="false" customHeight="false" outlineLevel="0" collapsed="false">
      <c r="A61" s="13" t="n">
        <v>10007</v>
      </c>
      <c r="B61" s="4" t="str">
        <f aca="false" t="array" ref="B61:B61">INDEX(Productos!$A:B,MATCH($A61,Productos!$A:$A),COLUMN(B61))</f>
        <v>California Sake Masago</v>
      </c>
      <c r="C61" s="12" t="n">
        <v>1013</v>
      </c>
      <c r="D61" s="4" t="str">
        <f aca="false" t="array" ref="D61:D61">INDEX(Productos!$A:B,MATCH($C61,Productos!$A:$A),2)</f>
        <v>Masago</v>
      </c>
      <c r="E61" s="12" t="n">
        <v>0.05</v>
      </c>
      <c r="F61" s="16" t="s">
        <v>17</v>
      </c>
      <c r="G61" s="13" t="n">
        <f aca="false">IFERROR(__xludf.dummyfunction("filter(Productos!K:K,A61=Productos!A:A)"),1)</f>
        <v>1</v>
      </c>
      <c r="H61" s="4" t="n">
        <f aca="false">G61*E61</f>
        <v>0.05</v>
      </c>
      <c r="I61" s="4" t="str">
        <f aca="false">F61</f>
        <v>Kg</v>
      </c>
      <c r="J61" s="14" t="n">
        <f aca="false">IFERROR(__xludf.dummyfunction("roundup(H61/filter(Productos!I:I,Productos!A:A=C61),1)"),5)</f>
        <v>5</v>
      </c>
      <c r="K61" s="4"/>
      <c r="L61" s="13"/>
      <c r="M61" s="4"/>
      <c r="N61" s="13"/>
      <c r="O61" s="13"/>
      <c r="P61" s="13"/>
      <c r="Q61" s="13"/>
      <c r="R61" s="13"/>
      <c r="S61" s="13"/>
      <c r="T61" s="13"/>
      <c r="U61" s="13"/>
      <c r="V61" s="13"/>
      <c r="W61" s="13"/>
      <c r="X61" s="13"/>
      <c r="Y61" s="13"/>
      <c r="Z61" s="13"/>
      <c r="AA61" s="13"/>
    </row>
    <row r="62" customFormat="false" ht="13" hidden="false" customHeight="false" outlineLevel="0" collapsed="false">
      <c r="A62" s="13" t="n">
        <v>10007</v>
      </c>
      <c r="B62" s="4" t="str">
        <f aca="false" t="array" ref="B62:B62">INDEX(Productos!$A:B,MATCH($A62,Productos!$A:$A),COLUMN(B62))</f>
        <v>California Sake Masago</v>
      </c>
      <c r="C62" s="12" t="n">
        <v>1210</v>
      </c>
      <c r="D62" s="4" t="str">
        <f aca="false" t="array" ref="D62:D62">INDEX(Productos!$A:B,MATCH($C62,Productos!$A:$A),2)</f>
        <v>Palta cortada para roll</v>
      </c>
      <c r="E62" s="12" t="n">
        <v>1</v>
      </c>
      <c r="F62" s="12" t="s">
        <v>28</v>
      </c>
      <c r="G62" s="13" t="n">
        <f aca="false">IFERROR(__xludf.dummyfunction("filter(Productos!K:K,A62=Productos!A:A)"),1)</f>
        <v>1</v>
      </c>
      <c r="H62" s="4" t="n">
        <f aca="false">G62*E62</f>
        <v>1</v>
      </c>
      <c r="I62" s="4" t="str">
        <f aca="false">F62</f>
        <v>Unid</v>
      </c>
      <c r="J62" s="14" t="n">
        <f aca="false">IFERROR(__xludf.dummyfunction("roundup(H62/filter(Productos!I:I,Productos!A:A=C62),1)"),1)</f>
        <v>1</v>
      </c>
      <c r="K62" s="4"/>
      <c r="L62" s="13"/>
      <c r="M62" s="4"/>
      <c r="N62" s="13"/>
      <c r="O62" s="13"/>
      <c r="P62" s="13"/>
      <c r="Q62" s="13"/>
      <c r="R62" s="13"/>
      <c r="S62" s="13"/>
      <c r="T62" s="13"/>
      <c r="U62" s="13"/>
      <c r="V62" s="13"/>
      <c r="W62" s="13"/>
      <c r="X62" s="13"/>
      <c r="Y62" s="13"/>
      <c r="Z62" s="13"/>
      <c r="AA62" s="13"/>
    </row>
    <row r="63" customFormat="false" ht="13" hidden="false" customHeight="false" outlineLevel="0" collapsed="false">
      <c r="A63" s="13" t="n">
        <v>10007</v>
      </c>
      <c r="B63" s="4" t="str">
        <f aca="false" t="array" ref="B63:B63">INDEX(Productos!$A:B,MATCH($A63,Productos!$A:$A),COLUMN(B63))</f>
        <v>California Sake Masago</v>
      </c>
      <c r="C63" s="12" t="n">
        <v>1107</v>
      </c>
      <c r="D63" s="4" t="str">
        <f aca="false" t="array" ref="D63:D63">INDEX(Productos!$A:B,MATCH($C63,Productos!$A:$A),2)</f>
        <v>Salmón cortado para roll</v>
      </c>
      <c r="E63" s="12" t="n">
        <v>1</v>
      </c>
      <c r="F63" s="12" t="s">
        <v>28</v>
      </c>
      <c r="G63" s="13" t="n">
        <f aca="false">IFERROR(__xludf.dummyfunction("filter(Productos!K:K,A63=Productos!A:A)"),1)</f>
        <v>1</v>
      </c>
      <c r="H63" s="4" t="n">
        <f aca="false">G63*E63</f>
        <v>1</v>
      </c>
      <c r="I63" s="4" t="str">
        <f aca="false">F63</f>
        <v>Unid</v>
      </c>
      <c r="J63" s="14" t="n">
        <f aca="false">IFERROR(__xludf.dummyfunction("roundup(H63/filter(Productos!I:I,Productos!A:A=C63),1)"),1)</f>
        <v>1</v>
      </c>
      <c r="K63" s="4"/>
      <c r="L63" s="13"/>
      <c r="M63" s="4"/>
      <c r="N63" s="13"/>
      <c r="O63" s="13"/>
      <c r="P63" s="13"/>
      <c r="Q63" s="13"/>
      <c r="R63" s="13"/>
      <c r="S63" s="13"/>
      <c r="T63" s="13"/>
      <c r="U63" s="13"/>
      <c r="V63" s="13"/>
      <c r="W63" s="13"/>
      <c r="X63" s="13"/>
      <c r="Y63" s="13"/>
      <c r="Z63" s="13"/>
      <c r="AA63" s="13"/>
    </row>
    <row r="64" customFormat="false" ht="13" hidden="false" customHeight="false" outlineLevel="0" collapsed="false">
      <c r="A64" s="4" t="n">
        <v>10007</v>
      </c>
      <c r="B64" s="4" t="str">
        <f aca="false" t="array" ref="B64:B64">INDEX(Productos!$A:B,MATCH($A64,Productos!$A:$A),COLUMN(B64))</f>
        <v>California Sake Masago</v>
      </c>
      <c r="C64" s="12" t="n">
        <v>1116</v>
      </c>
      <c r="D64" s="4" t="str">
        <f aca="false" t="array" ref="D64:D64">INDEX(Productos!$A:B,MATCH($C64,Productos!$A:$A),2)</f>
        <v>Nori entero cortado para roll</v>
      </c>
      <c r="E64" s="12" t="n">
        <v>1</v>
      </c>
      <c r="F64" s="12" t="s">
        <v>28</v>
      </c>
      <c r="G64" s="13" t="n">
        <f aca="false">IFERROR(__xludf.dummyfunction("filter(Productos!K:K,A64=Productos!A:A)"),1)</f>
        <v>1</v>
      </c>
      <c r="H64" s="4" t="n">
        <f aca="false">G64*E64</f>
        <v>1</v>
      </c>
      <c r="I64" s="4" t="str">
        <f aca="false">F64</f>
        <v>Unid</v>
      </c>
      <c r="J64" s="14" t="n">
        <f aca="false">IFERROR(__xludf.dummyfunction("roundup(H64/filter(Productos!I:I,Productos!A:A=C64),1)"),1)</f>
        <v>1</v>
      </c>
      <c r="K64" s="4"/>
      <c r="L64" s="4"/>
      <c r="M64" s="4"/>
      <c r="N64" s="13"/>
      <c r="O64" s="13"/>
      <c r="P64" s="13"/>
      <c r="Q64" s="13"/>
      <c r="R64" s="13"/>
      <c r="S64" s="13"/>
      <c r="T64" s="13"/>
      <c r="U64" s="13"/>
      <c r="V64" s="13"/>
      <c r="W64" s="13"/>
      <c r="X64" s="13"/>
      <c r="Y64" s="13"/>
      <c r="Z64" s="13"/>
      <c r="AA64" s="13"/>
    </row>
    <row r="65" customFormat="false" ht="13" hidden="false" customHeight="false" outlineLevel="0" collapsed="false">
      <c r="A65" s="13" t="n">
        <v>10008</v>
      </c>
      <c r="B65" s="4" t="str">
        <f aca="false" t="array" ref="B65:B65">INDEX(Productos!$A:B,MATCH($A65,Productos!$A:$A),COLUMN(B65))</f>
        <v>California Maguro Sésamo</v>
      </c>
      <c r="C65" s="12" t="n">
        <v>1201</v>
      </c>
      <c r="D65" s="4" t="str">
        <f aca="false" t="array" ref="D65:D65">INDEX(Productos!$A:B,MATCH($C65,Productos!$A:$A),2)</f>
        <v>Arroz cocido para roll</v>
      </c>
      <c r="E65" s="12" t="n">
        <v>1</v>
      </c>
      <c r="F65" s="12" t="s">
        <v>28</v>
      </c>
      <c r="G65" s="13" t="n">
        <f aca="false">IFERROR(__xludf.dummyfunction("filter(Productos!K:K,A65=Productos!A:A)"),1)</f>
        <v>1</v>
      </c>
      <c r="H65" s="4" t="n">
        <f aca="false">G65*E65</f>
        <v>1</v>
      </c>
      <c r="I65" s="4" t="str">
        <f aca="false">F65</f>
        <v>Unid</v>
      </c>
      <c r="J65" s="14" t="n">
        <f aca="false">IFERROR(__xludf.dummyfunction("roundup(H65/filter(Productos!I:I,Productos!A:A=C65),1)"),1)</f>
        <v>1</v>
      </c>
      <c r="K65" s="4"/>
      <c r="L65" s="13"/>
      <c r="M65" s="4"/>
      <c r="N65" s="13"/>
      <c r="O65" s="13"/>
      <c r="P65" s="13"/>
      <c r="Q65" s="13"/>
      <c r="R65" s="13"/>
      <c r="S65" s="13"/>
      <c r="T65" s="13"/>
      <c r="U65" s="13"/>
      <c r="V65" s="13"/>
      <c r="W65" s="13"/>
      <c r="X65" s="13"/>
      <c r="Y65" s="13"/>
      <c r="Z65" s="13"/>
      <c r="AA65" s="13"/>
    </row>
    <row r="66" customFormat="false" ht="13" hidden="false" customHeight="false" outlineLevel="0" collapsed="false">
      <c r="A66" s="13" t="n">
        <v>10008</v>
      </c>
      <c r="B66" s="4" t="str">
        <f aca="false" t="array" ref="B66:B66">INDEX(Productos!$A:B,MATCH($A66,Productos!$A:$A),COLUMN(B66))</f>
        <v>California Maguro Sésamo</v>
      </c>
      <c r="C66" s="12" t="n">
        <v>1109</v>
      </c>
      <c r="D66" s="4" t="str">
        <f aca="false" t="array" ref="D66:D66">INDEX(Productos!$A:B,MATCH($C66,Productos!$A:$A),2)</f>
        <v>Atún cortado para roll</v>
      </c>
      <c r="E66" s="12" t="n">
        <v>1</v>
      </c>
      <c r="F66" s="12" t="s">
        <v>28</v>
      </c>
      <c r="G66" s="13" t="n">
        <f aca="false">IFERROR(__xludf.dummyfunction("filter(Productos!K:K,A66=Productos!A:A)"),1)</f>
        <v>1</v>
      </c>
      <c r="H66" s="4" t="n">
        <f aca="false">G66*E66</f>
        <v>1</v>
      </c>
      <c r="I66" s="4" t="str">
        <f aca="false">F66</f>
        <v>Unid</v>
      </c>
      <c r="J66" s="14" t="n">
        <f aca="false">IFERROR(__xludf.dummyfunction("roundup(H66/filter(Productos!I:I,Productos!A:A=C66),1)"),1)</f>
        <v>1</v>
      </c>
      <c r="K66" s="13"/>
      <c r="L66" s="13"/>
      <c r="M66" s="4"/>
      <c r="N66" s="13"/>
      <c r="O66" s="13"/>
      <c r="P66" s="13"/>
      <c r="Q66" s="13"/>
      <c r="R66" s="13"/>
      <c r="S66" s="13"/>
      <c r="T66" s="13"/>
      <c r="U66" s="13"/>
      <c r="V66" s="13"/>
      <c r="W66" s="13"/>
      <c r="X66" s="13"/>
      <c r="Y66" s="13"/>
      <c r="Z66" s="13"/>
      <c r="AA66" s="13"/>
    </row>
    <row r="67" customFormat="false" ht="13" hidden="false" customHeight="false" outlineLevel="0" collapsed="false">
      <c r="A67" s="13" t="n">
        <v>10008</v>
      </c>
      <c r="B67" s="4" t="str">
        <f aca="false" t="array" ref="B67:B67">INDEX(Productos!$A:B,MATCH($A67,Productos!$A:$A),COLUMN(B67))</f>
        <v>California Maguro Sésamo</v>
      </c>
      <c r="C67" s="12" t="n">
        <v>1210</v>
      </c>
      <c r="D67" s="4" t="str">
        <f aca="false" t="array" ref="D67:D67">INDEX(Productos!$A:B,MATCH($C67,Productos!$A:$A),2)</f>
        <v>Palta cortada para roll</v>
      </c>
      <c r="E67" s="12" t="n">
        <v>1</v>
      </c>
      <c r="F67" s="12" t="s">
        <v>28</v>
      </c>
      <c r="G67" s="13" t="n">
        <f aca="false">IFERROR(__xludf.dummyfunction("filter(Productos!K:K,A67=Productos!A:A)"),1)</f>
        <v>1</v>
      </c>
      <c r="H67" s="4" t="n">
        <f aca="false">G67*E67</f>
        <v>1</v>
      </c>
      <c r="I67" s="4" t="str">
        <f aca="false">F67</f>
        <v>Unid</v>
      </c>
      <c r="J67" s="14" t="n">
        <f aca="false">IFERROR(__xludf.dummyfunction("roundup(H67/filter(Productos!I:I,Productos!A:A=C67),1)"),1)</f>
        <v>1</v>
      </c>
      <c r="K67" s="13"/>
      <c r="L67" s="13"/>
      <c r="M67" s="4"/>
      <c r="N67" s="13"/>
      <c r="O67" s="13"/>
      <c r="P67" s="13"/>
      <c r="Q67" s="13"/>
      <c r="R67" s="13"/>
      <c r="S67" s="13"/>
      <c r="T67" s="13"/>
      <c r="U67" s="13"/>
      <c r="V67" s="13"/>
      <c r="W67" s="13"/>
      <c r="X67" s="13"/>
      <c r="Y67" s="13"/>
      <c r="Z67" s="13"/>
      <c r="AA67" s="13"/>
    </row>
    <row r="68" customFormat="false" ht="13" hidden="false" customHeight="false" outlineLevel="0" collapsed="false">
      <c r="A68" s="13" t="n">
        <v>10008</v>
      </c>
      <c r="B68" s="4" t="str">
        <f aca="false" t="array" ref="B68:B68">INDEX(Productos!$A:B,MATCH($A68,Productos!$A:$A),COLUMN(B68))</f>
        <v>California Maguro Sésamo</v>
      </c>
      <c r="C68" s="12" t="n">
        <v>1211</v>
      </c>
      <c r="D68" s="4" t="str">
        <f aca="false" t="array" ref="D68:D68">INDEX(Productos!$A:B,MATCH($C68,Productos!$A:$A),2)</f>
        <v>Sésamo tostado para envoltura</v>
      </c>
      <c r="E68" s="12" t="n">
        <v>1</v>
      </c>
      <c r="F68" s="12" t="s">
        <v>28</v>
      </c>
      <c r="G68" s="13" t="n">
        <f aca="false">IFERROR(__xludf.dummyfunction("filter(Productos!K:K,A68=Productos!A:A)"),1)</f>
        <v>1</v>
      </c>
      <c r="H68" s="4" t="n">
        <f aca="false">G68*E68</f>
        <v>1</v>
      </c>
      <c r="I68" s="4" t="str">
        <f aca="false">F68</f>
        <v>Unid</v>
      </c>
      <c r="J68" s="14" t="n">
        <f aca="false">IFERROR(__xludf.dummyfunction("roundup(H68/filter(Productos!I:I,Productos!A:A=C68),1)"),1)</f>
        <v>1</v>
      </c>
      <c r="K68" s="13"/>
      <c r="L68" s="13"/>
      <c r="M68" s="4"/>
      <c r="N68" s="13"/>
      <c r="O68" s="13"/>
      <c r="P68" s="13"/>
      <c r="Q68" s="13"/>
      <c r="R68" s="13"/>
      <c r="S68" s="13"/>
      <c r="T68" s="13"/>
      <c r="U68" s="13"/>
      <c r="V68" s="13"/>
      <c r="W68" s="13"/>
      <c r="X68" s="13"/>
      <c r="Y68" s="13"/>
      <c r="Z68" s="13"/>
      <c r="AA68" s="13"/>
    </row>
    <row r="69" customFormat="false" ht="13" hidden="false" customHeight="false" outlineLevel="0" collapsed="false">
      <c r="A69" s="13" t="n">
        <v>10008</v>
      </c>
      <c r="B69" s="4" t="str">
        <f aca="false" t="array" ref="B69:B69">INDEX(Productos!$A:B,MATCH($A69,Productos!$A:$A),COLUMN(B69))</f>
        <v>California Maguro Sésamo</v>
      </c>
      <c r="C69" s="12" t="n">
        <v>1116</v>
      </c>
      <c r="D69" s="4" t="str">
        <f aca="false" t="array" ref="D69:D69">INDEX(Productos!$A:B,MATCH($C69,Productos!$A:$A),2)</f>
        <v>Nori entero cortado para roll</v>
      </c>
      <c r="E69" s="12" t="n">
        <v>1</v>
      </c>
      <c r="F69" s="12" t="s">
        <v>28</v>
      </c>
      <c r="G69" s="13" t="n">
        <f aca="false">IFERROR(__xludf.dummyfunction("filter(Productos!K:K,A69=Productos!A:A)"),1)</f>
        <v>1</v>
      </c>
      <c r="H69" s="4" t="n">
        <f aca="false">G69*E69</f>
        <v>1</v>
      </c>
      <c r="I69" s="4" t="str">
        <f aca="false">F69</f>
        <v>Unid</v>
      </c>
      <c r="J69" s="14" t="n">
        <f aca="false">IFERROR(__xludf.dummyfunction("roundup(H69/filter(Productos!I:I,Productos!A:A=C69),1)"),1)</f>
        <v>1</v>
      </c>
      <c r="K69" s="13"/>
      <c r="L69" s="13"/>
      <c r="M69" s="4"/>
      <c r="N69" s="13"/>
      <c r="O69" s="13"/>
      <c r="P69" s="13"/>
      <c r="Q69" s="13"/>
      <c r="R69" s="13"/>
      <c r="S69" s="13"/>
      <c r="T69" s="13"/>
      <c r="U69" s="13"/>
      <c r="V69" s="13"/>
      <c r="W69" s="13"/>
      <c r="X69" s="13"/>
      <c r="Y69" s="13"/>
      <c r="Z69" s="13"/>
      <c r="AA69" s="13"/>
    </row>
    <row r="70" customFormat="false" ht="13" hidden="false" customHeight="false" outlineLevel="0" collapsed="false">
      <c r="A70" s="13" t="n">
        <v>10009</v>
      </c>
      <c r="B70" s="4" t="str">
        <f aca="false" t="array" ref="B70:B70">INDEX(Productos!$A:B,MATCH($A70,Productos!$A:$A),COLUMN(B70))</f>
        <v>California Maguro Masago</v>
      </c>
      <c r="C70" s="12" t="n">
        <v>1201</v>
      </c>
      <c r="D70" s="4" t="str">
        <f aca="false" t="array" ref="D70:D70">INDEX(Productos!$A:B,MATCH($C70,Productos!$A:$A),2)</f>
        <v>Arroz cocido para roll</v>
      </c>
      <c r="E70" s="12" t="n">
        <v>1</v>
      </c>
      <c r="F70" s="12" t="s">
        <v>28</v>
      </c>
      <c r="G70" s="13" t="n">
        <f aca="false">IFERROR(__xludf.dummyfunction("filter(Productos!K:K,A70=Productos!A:A)"),1)</f>
        <v>1</v>
      </c>
      <c r="H70" s="4" t="n">
        <f aca="false">G70*E70</f>
        <v>1</v>
      </c>
      <c r="I70" s="4" t="str">
        <f aca="false">F70</f>
        <v>Unid</v>
      </c>
      <c r="J70" s="14" t="n">
        <f aca="false">IFERROR(__xludf.dummyfunction("roundup(H70/filter(Productos!I:I,Productos!A:A=C70),1)"),1)</f>
        <v>1</v>
      </c>
      <c r="K70" s="13"/>
      <c r="L70" s="13"/>
      <c r="M70" s="4"/>
      <c r="N70" s="13"/>
      <c r="O70" s="13"/>
      <c r="P70" s="13"/>
      <c r="Q70" s="13"/>
      <c r="R70" s="13"/>
      <c r="S70" s="13"/>
      <c r="T70" s="13"/>
      <c r="U70" s="13"/>
      <c r="V70" s="13"/>
      <c r="W70" s="13"/>
      <c r="X70" s="13"/>
      <c r="Y70" s="13"/>
      <c r="Z70" s="13"/>
      <c r="AA70" s="13"/>
    </row>
    <row r="71" customFormat="false" ht="13" hidden="false" customHeight="false" outlineLevel="0" collapsed="false">
      <c r="A71" s="13" t="n">
        <v>10009</v>
      </c>
      <c r="B71" s="4" t="str">
        <f aca="false" t="array" ref="B71:B71">INDEX(Productos!$A:B,MATCH($A71,Productos!$A:$A),COLUMN(B71))</f>
        <v>California Maguro Masago</v>
      </c>
      <c r="C71" s="12" t="n">
        <v>1109</v>
      </c>
      <c r="D71" s="4" t="str">
        <f aca="false" t="array" ref="D71:D71">INDEX(Productos!$A:B,MATCH($C71,Productos!$A:$A),2)</f>
        <v>Atún cortado para roll</v>
      </c>
      <c r="E71" s="12" t="n">
        <v>1</v>
      </c>
      <c r="F71" s="12" t="s">
        <v>28</v>
      </c>
      <c r="G71" s="13" t="n">
        <f aca="false">IFERROR(__xludf.dummyfunction("filter(Productos!K:K,A71=Productos!A:A)"),1)</f>
        <v>1</v>
      </c>
      <c r="H71" s="4" t="n">
        <f aca="false">G71*E71</f>
        <v>1</v>
      </c>
      <c r="I71" s="4" t="str">
        <f aca="false">F71</f>
        <v>Unid</v>
      </c>
      <c r="J71" s="14" t="n">
        <f aca="false">IFERROR(__xludf.dummyfunction("roundup(H71/filter(Productos!I:I,Productos!A:A=C71),1)"),1)</f>
        <v>1</v>
      </c>
      <c r="K71" s="13"/>
      <c r="L71" s="13"/>
      <c r="M71" s="4"/>
      <c r="N71" s="13"/>
      <c r="O71" s="13"/>
      <c r="P71" s="13"/>
      <c r="Q71" s="13"/>
      <c r="R71" s="13"/>
      <c r="S71" s="13"/>
      <c r="T71" s="13"/>
      <c r="U71" s="13"/>
      <c r="V71" s="13"/>
      <c r="W71" s="13"/>
      <c r="X71" s="13"/>
      <c r="Y71" s="13"/>
      <c r="Z71" s="13"/>
      <c r="AA71" s="13"/>
    </row>
    <row r="72" customFormat="false" ht="13" hidden="false" customHeight="false" outlineLevel="0" collapsed="false">
      <c r="A72" s="13" t="n">
        <v>10009</v>
      </c>
      <c r="B72" s="4" t="str">
        <f aca="false" t="array" ref="B72:B72">INDEX(Productos!$A:B,MATCH($A72,Productos!$A:$A),COLUMN(B72))</f>
        <v>California Maguro Masago</v>
      </c>
      <c r="C72" s="12" t="n">
        <v>1013</v>
      </c>
      <c r="D72" s="4" t="str">
        <f aca="false" t="array" ref="D72:D72">INDEX(Productos!$A:B,MATCH($C72,Productos!$A:$A),2)</f>
        <v>Masago</v>
      </c>
      <c r="E72" s="12" t="n">
        <v>0.05</v>
      </c>
      <c r="F72" s="16" t="s">
        <v>17</v>
      </c>
      <c r="G72" s="13" t="n">
        <f aca="false">IFERROR(__xludf.dummyfunction("filter(Productos!K:K,A72=Productos!A:A)"),1)</f>
        <v>1</v>
      </c>
      <c r="H72" s="4" t="n">
        <f aca="false">G72*E72</f>
        <v>0.05</v>
      </c>
      <c r="I72" s="4" t="str">
        <f aca="false">F72</f>
        <v>Kg</v>
      </c>
      <c r="J72" s="14" t="n">
        <f aca="false">IFERROR(__xludf.dummyfunction("roundup(H72/filter(Productos!I:I,Productos!A:A=C72),1)"),5)</f>
        <v>5</v>
      </c>
      <c r="K72" s="13"/>
      <c r="L72" s="13"/>
      <c r="M72" s="4"/>
      <c r="N72" s="13"/>
      <c r="O72" s="13"/>
      <c r="P72" s="13"/>
      <c r="Q72" s="13"/>
      <c r="R72" s="13"/>
      <c r="S72" s="13"/>
      <c r="T72" s="13"/>
      <c r="U72" s="13"/>
      <c r="V72" s="13"/>
      <c r="W72" s="13"/>
      <c r="X72" s="13"/>
      <c r="Y72" s="13"/>
      <c r="Z72" s="13"/>
      <c r="AA72" s="13"/>
    </row>
    <row r="73" customFormat="false" ht="13" hidden="false" customHeight="false" outlineLevel="0" collapsed="false">
      <c r="A73" s="13" t="n">
        <v>10009</v>
      </c>
      <c r="B73" s="4" t="str">
        <f aca="false" t="array" ref="B73:B73">INDEX(Productos!$A:B,MATCH($A73,Productos!$A:$A),COLUMN(B73))</f>
        <v>California Maguro Masago</v>
      </c>
      <c r="C73" s="12" t="n">
        <v>1210</v>
      </c>
      <c r="D73" s="4" t="str">
        <f aca="false" t="array" ref="D73:D73">INDEX(Productos!$A:B,MATCH($C73,Productos!$A:$A),2)</f>
        <v>Palta cortada para roll</v>
      </c>
      <c r="E73" s="12" t="n">
        <v>1</v>
      </c>
      <c r="F73" s="12" t="s">
        <v>28</v>
      </c>
      <c r="G73" s="13" t="n">
        <f aca="false">IFERROR(__xludf.dummyfunction("filter(Productos!K:K,A73=Productos!A:A)"),1)</f>
        <v>1</v>
      </c>
      <c r="H73" s="4" t="n">
        <f aca="false">G73*E73</f>
        <v>1</v>
      </c>
      <c r="I73" s="4" t="str">
        <f aca="false">F73</f>
        <v>Unid</v>
      </c>
      <c r="J73" s="14" t="n">
        <f aca="false">IFERROR(__xludf.dummyfunction("roundup(H73/filter(Productos!I:I,Productos!A:A=C73),1)"),1)</f>
        <v>1</v>
      </c>
      <c r="K73" s="13"/>
      <c r="L73" s="13"/>
      <c r="M73" s="4"/>
      <c r="N73" s="13"/>
      <c r="O73" s="13"/>
      <c r="P73" s="13"/>
      <c r="Q73" s="13"/>
      <c r="R73" s="13"/>
      <c r="S73" s="13"/>
      <c r="T73" s="13"/>
      <c r="U73" s="13"/>
      <c r="V73" s="13"/>
      <c r="W73" s="13"/>
      <c r="X73" s="13"/>
      <c r="Y73" s="13"/>
      <c r="Z73" s="13"/>
      <c r="AA73" s="13"/>
    </row>
    <row r="74" customFormat="false" ht="13" hidden="false" customHeight="false" outlineLevel="0" collapsed="false">
      <c r="A74" s="13" t="n">
        <v>10009</v>
      </c>
      <c r="B74" s="4" t="str">
        <f aca="false" t="array" ref="B74:B74">INDEX(Productos!$A:B,MATCH($A74,Productos!$A:$A),COLUMN(B74))</f>
        <v>California Maguro Masago</v>
      </c>
      <c r="C74" s="12" t="n">
        <v>1116</v>
      </c>
      <c r="D74" s="4" t="str">
        <f aca="false" t="array" ref="D74:D74">INDEX(Productos!$A:B,MATCH($C74,Productos!$A:$A),2)</f>
        <v>Nori entero cortado para roll</v>
      </c>
      <c r="E74" s="12" t="n">
        <v>1</v>
      </c>
      <c r="F74" s="12" t="s">
        <v>28</v>
      </c>
      <c r="G74" s="13" t="n">
        <f aca="false">IFERROR(__xludf.dummyfunction("filter(Productos!K:K,A74=Productos!A:A)"),1)</f>
        <v>1</v>
      </c>
      <c r="H74" s="4" t="n">
        <f aca="false">G74*E74</f>
        <v>1</v>
      </c>
      <c r="I74" s="4" t="str">
        <f aca="false">F74</f>
        <v>Unid</v>
      </c>
      <c r="J74" s="14" t="n">
        <f aca="false">IFERROR(__xludf.dummyfunction("roundup(H74/filter(Productos!I:I,Productos!A:A=C74),1)"),1)</f>
        <v>1</v>
      </c>
      <c r="K74" s="13"/>
      <c r="L74" s="13"/>
      <c r="M74" s="4"/>
      <c r="N74" s="13"/>
      <c r="O74" s="13"/>
      <c r="P74" s="13"/>
      <c r="Q74" s="13"/>
      <c r="R74" s="13"/>
      <c r="S74" s="13"/>
      <c r="T74" s="13"/>
      <c r="U74" s="13"/>
      <c r="V74" s="13"/>
      <c r="W74" s="13"/>
      <c r="X74" s="13"/>
      <c r="Y74" s="13"/>
      <c r="Z74" s="13"/>
      <c r="AA74" s="13"/>
    </row>
    <row r="75" customFormat="false" ht="13" hidden="false" customHeight="false" outlineLevel="0" collapsed="false">
      <c r="A75" s="13" t="n">
        <v>10010</v>
      </c>
      <c r="B75" s="4" t="str">
        <f aca="false" t="array" ref="B75:B75">INDEX(Productos!$A:B,MATCH($A75,Productos!$A:$A),COLUMN(B75))</f>
        <v>Ebi</v>
      </c>
      <c r="C75" s="12" t="n">
        <v>1201</v>
      </c>
      <c r="D75" s="4" t="str">
        <f aca="false" t="array" ref="D75:D75">INDEX(Productos!$A:B,MATCH($C75,Productos!$A:$A),2)</f>
        <v>Arroz cocido para roll</v>
      </c>
      <c r="E75" s="12" t="n">
        <v>1</v>
      </c>
      <c r="F75" s="12" t="s">
        <v>28</v>
      </c>
      <c r="G75" s="13" t="n">
        <f aca="false">IFERROR(__xludf.dummyfunction("filter(Productos!K:K,A75=Productos!A:A)"),1)</f>
        <v>1</v>
      </c>
      <c r="H75" s="4" t="n">
        <f aca="false">G75*E75</f>
        <v>1</v>
      </c>
      <c r="I75" s="4" t="str">
        <f aca="false">F75</f>
        <v>Unid</v>
      </c>
      <c r="J75" s="14" t="n">
        <f aca="false">IFERROR(__xludf.dummyfunction("roundup(H75/filter(Productos!I:I,Productos!A:A=C75),1)"),1)</f>
        <v>1</v>
      </c>
      <c r="K75" s="13"/>
      <c r="L75" s="13"/>
      <c r="M75" s="4"/>
      <c r="N75" s="13"/>
      <c r="O75" s="13"/>
      <c r="P75" s="13"/>
      <c r="Q75" s="13"/>
      <c r="R75" s="13"/>
      <c r="S75" s="13"/>
      <c r="T75" s="13"/>
      <c r="U75" s="13"/>
      <c r="V75" s="13"/>
      <c r="W75" s="13"/>
      <c r="X75" s="13"/>
      <c r="Y75" s="13"/>
      <c r="Z75" s="13"/>
      <c r="AA75" s="13"/>
    </row>
    <row r="76" customFormat="false" ht="13" hidden="false" customHeight="false" outlineLevel="0" collapsed="false">
      <c r="A76" s="13" t="n">
        <v>10010</v>
      </c>
      <c r="B76" s="4" t="str">
        <f aca="false" t="array" ref="B76:B76">INDEX(Productos!$A:B,MATCH($A76,Productos!$A:$A),COLUMN(B76))</f>
        <v>Ebi</v>
      </c>
      <c r="C76" s="12" t="n">
        <v>1106</v>
      </c>
      <c r="D76" s="4" t="str">
        <f aca="false" t="array" ref="D76:D76">INDEX(Productos!$A:B,MATCH($C76,Productos!$A:$A),2)</f>
        <v>Camarón cocido</v>
      </c>
      <c r="E76" s="12" t="n">
        <v>4</v>
      </c>
      <c r="F76" s="16" t="s">
        <v>28</v>
      </c>
      <c r="G76" s="13" t="n">
        <f aca="false">IFERROR(__xludf.dummyfunction("filter(Productos!K:K,A76=Productos!A:A)"),1)</f>
        <v>1</v>
      </c>
      <c r="H76" s="4" t="n">
        <f aca="false">G76*E76</f>
        <v>4</v>
      </c>
      <c r="I76" s="4" t="str">
        <f aca="false">F76</f>
        <v>Unid</v>
      </c>
      <c r="J76" s="14" t="n">
        <f aca="false">IFERROR(__xludf.dummyfunction("roundup(H76/filter(Productos!I:I,Productos!A:A=C76),1)"),4)</f>
        <v>4</v>
      </c>
      <c r="K76" s="13"/>
      <c r="L76" s="13"/>
      <c r="M76" s="4"/>
      <c r="N76" s="13"/>
      <c r="O76" s="13"/>
      <c r="P76" s="13"/>
      <c r="Q76" s="13"/>
      <c r="R76" s="13"/>
      <c r="S76" s="13"/>
      <c r="T76" s="13"/>
      <c r="U76" s="13"/>
      <c r="V76" s="13"/>
      <c r="W76" s="13"/>
      <c r="X76" s="13"/>
      <c r="Y76" s="13"/>
      <c r="Z76" s="13"/>
      <c r="AA76" s="13"/>
    </row>
    <row r="77" customFormat="false" ht="13" hidden="false" customHeight="false" outlineLevel="0" collapsed="false">
      <c r="A77" s="13" t="n">
        <v>10010</v>
      </c>
      <c r="B77" s="4" t="str">
        <f aca="false" t="array" ref="B77:B77">INDEX(Productos!$A:B,MATCH($A77,Productos!$A:$A),COLUMN(B77))</f>
        <v>Ebi</v>
      </c>
      <c r="C77" s="12" t="n">
        <v>1210</v>
      </c>
      <c r="D77" s="4" t="str">
        <f aca="false" t="array" ref="D77:D77">INDEX(Productos!$A:B,MATCH($C77,Productos!$A:$A),2)</f>
        <v>Palta cortada para roll</v>
      </c>
      <c r="E77" s="12" t="n">
        <v>1</v>
      </c>
      <c r="F77" s="12" t="s">
        <v>28</v>
      </c>
      <c r="G77" s="13" t="n">
        <f aca="false">IFERROR(__xludf.dummyfunction("filter(Productos!K:K,A77=Productos!A:A)"),1)</f>
        <v>1</v>
      </c>
      <c r="H77" s="4" t="n">
        <f aca="false">G77*E77</f>
        <v>1</v>
      </c>
      <c r="I77" s="4" t="str">
        <f aca="false">F77</f>
        <v>Unid</v>
      </c>
      <c r="J77" s="14" t="n">
        <f aca="false">IFERROR(__xludf.dummyfunction("roundup(H77/filter(Productos!I:I,Productos!A:A=C77),1)"),1)</f>
        <v>1</v>
      </c>
      <c r="K77" s="13"/>
      <c r="L77" s="13"/>
      <c r="M77" s="4"/>
      <c r="N77" s="13"/>
      <c r="O77" s="13"/>
      <c r="P77" s="13"/>
      <c r="Q77" s="13"/>
      <c r="R77" s="13"/>
      <c r="S77" s="13"/>
      <c r="T77" s="13"/>
      <c r="U77" s="13"/>
      <c r="V77" s="13"/>
      <c r="W77" s="13"/>
      <c r="X77" s="13"/>
      <c r="Y77" s="13"/>
      <c r="Z77" s="13"/>
      <c r="AA77" s="13"/>
    </row>
    <row r="78" customFormat="false" ht="13" hidden="false" customHeight="false" outlineLevel="0" collapsed="false">
      <c r="A78" s="13" t="n">
        <v>10010</v>
      </c>
      <c r="B78" s="4" t="str">
        <f aca="false" t="array" ref="B78:B78">INDEX(Productos!$A:B,MATCH($A78,Productos!$A:$A),COLUMN(B78))</f>
        <v>Ebi</v>
      </c>
      <c r="C78" s="12" t="n">
        <v>1110</v>
      </c>
      <c r="D78" s="4" t="str">
        <f aca="false" t="array" ref="D78:D78">INDEX(Productos!$A:B,MATCH($C78,Productos!$A:$A),2)</f>
        <v>Palta cortada para envoltura</v>
      </c>
      <c r="E78" s="12" t="n">
        <v>1</v>
      </c>
      <c r="F78" s="12" t="s">
        <v>28</v>
      </c>
      <c r="G78" s="13" t="n">
        <f aca="false">IFERROR(__xludf.dummyfunction("filter(Productos!K:K,A78=Productos!A:A)"),1)</f>
        <v>1</v>
      </c>
      <c r="H78" s="4" t="n">
        <f aca="false">G78*E78</f>
        <v>1</v>
      </c>
      <c r="I78" s="4" t="str">
        <f aca="false">F78</f>
        <v>Unid</v>
      </c>
      <c r="J78" s="14" t="n">
        <f aca="false">IFERROR(__xludf.dummyfunction("roundup(H78/filter(Productos!I:I,Productos!A:A=C78),1)"),1)</f>
        <v>1</v>
      </c>
      <c r="K78" s="13"/>
      <c r="L78" s="13"/>
      <c r="M78" s="4"/>
      <c r="N78" s="13"/>
      <c r="O78" s="13"/>
      <c r="P78" s="13"/>
      <c r="Q78" s="13"/>
      <c r="R78" s="13"/>
      <c r="S78" s="13"/>
      <c r="T78" s="13"/>
      <c r="U78" s="13"/>
      <c r="V78" s="13"/>
      <c r="W78" s="13"/>
      <c r="X78" s="13"/>
      <c r="Y78" s="13"/>
      <c r="Z78" s="13"/>
      <c r="AA78" s="13"/>
    </row>
    <row r="79" customFormat="false" ht="13" hidden="false" customHeight="false" outlineLevel="0" collapsed="false">
      <c r="A79" s="4" t="n">
        <v>10010</v>
      </c>
      <c r="B79" s="4" t="str">
        <f aca="false" t="array" ref="B79:B79">INDEX(Productos!$A:B,MATCH($A79,Productos!$A:$A),COLUMN(B79))</f>
        <v>Ebi</v>
      </c>
      <c r="C79" s="12" t="n">
        <v>1116</v>
      </c>
      <c r="D79" s="4" t="str">
        <f aca="false" t="array" ref="D79:D79">INDEX(Productos!$A:B,MATCH($C79,Productos!$A:$A),2)</f>
        <v>Nori entero cortado para roll</v>
      </c>
      <c r="E79" s="12" t="n">
        <v>1</v>
      </c>
      <c r="F79" s="12" t="s">
        <v>28</v>
      </c>
      <c r="G79" s="13" t="n">
        <f aca="false">IFERROR(__xludf.dummyfunction("filter(Productos!K:K,A79=Productos!A:A)"),1)</f>
        <v>1</v>
      </c>
      <c r="H79" s="4" t="n">
        <f aca="false">G79*E79</f>
        <v>1</v>
      </c>
      <c r="I79" s="4" t="str">
        <f aca="false">F79</f>
        <v>Unid</v>
      </c>
      <c r="J79" s="14" t="n">
        <f aca="false">IFERROR(__xludf.dummyfunction("roundup(H79/filter(Productos!I:I,Productos!A:A=C79),1)"),1)</f>
        <v>1</v>
      </c>
      <c r="K79" s="13"/>
      <c r="L79" s="4"/>
      <c r="M79" s="4"/>
      <c r="N79" s="13"/>
      <c r="O79" s="13"/>
      <c r="P79" s="13"/>
      <c r="Q79" s="13"/>
      <c r="R79" s="13"/>
      <c r="S79" s="13"/>
      <c r="T79" s="13"/>
      <c r="U79" s="13"/>
      <c r="V79" s="13"/>
      <c r="W79" s="13"/>
      <c r="X79" s="13"/>
      <c r="Y79" s="13"/>
      <c r="Z79" s="13"/>
      <c r="AA79" s="13"/>
    </row>
    <row r="80" customFormat="false" ht="13" hidden="false" customHeight="false" outlineLevel="0" collapsed="false">
      <c r="A80" s="13" t="n">
        <v>10011</v>
      </c>
      <c r="B80" s="4" t="str">
        <f aca="false" t="array" ref="B80:B80">INDEX(Productos!$A:B,MATCH($A80,Productos!$A:$A),COLUMN(B80))</f>
        <v>Ebi Especial</v>
      </c>
      <c r="C80" s="12" t="n">
        <v>1201</v>
      </c>
      <c r="D80" s="4" t="str">
        <f aca="false" t="array" ref="D80:D80">INDEX(Productos!$A:B,MATCH($C80,Productos!$A:$A),2)</f>
        <v>Arroz cocido para roll</v>
      </c>
      <c r="E80" s="12" t="n">
        <v>1</v>
      </c>
      <c r="F80" s="12" t="s">
        <v>28</v>
      </c>
      <c r="G80" s="13" t="n">
        <f aca="false">IFERROR(__xludf.dummyfunction("filter(Productos!K:K,A80=Productos!A:A)"),1)</f>
        <v>1</v>
      </c>
      <c r="H80" s="4" t="n">
        <f aca="false">G80*E80</f>
        <v>1</v>
      </c>
      <c r="I80" s="4" t="str">
        <f aca="false">F80</f>
        <v>Unid</v>
      </c>
      <c r="J80" s="14" t="n">
        <f aca="false">IFERROR(__xludf.dummyfunction("roundup(H80/filter(Productos!I:I,Productos!A:A=C80),1)"),1)</f>
        <v>1</v>
      </c>
      <c r="K80" s="13"/>
      <c r="L80" s="13"/>
      <c r="M80" s="4"/>
      <c r="N80" s="13"/>
      <c r="O80" s="13"/>
      <c r="P80" s="13"/>
      <c r="Q80" s="13"/>
      <c r="R80" s="13"/>
      <c r="S80" s="13"/>
      <c r="T80" s="13"/>
      <c r="U80" s="13"/>
      <c r="V80" s="13"/>
      <c r="W80" s="13"/>
      <c r="X80" s="13"/>
      <c r="Y80" s="13"/>
      <c r="Z80" s="13"/>
      <c r="AA80" s="13"/>
    </row>
    <row r="81" customFormat="false" ht="13" hidden="false" customHeight="false" outlineLevel="0" collapsed="false">
      <c r="A81" s="13" t="n">
        <v>10011</v>
      </c>
      <c r="B81" s="4" t="str">
        <f aca="false" t="array" ref="B81:B81">INDEX(Productos!$A:B,MATCH($A81,Productos!$A:$A),COLUMN(B81))</f>
        <v>Ebi Especial</v>
      </c>
      <c r="C81" s="12" t="n">
        <v>1106</v>
      </c>
      <c r="D81" s="4" t="str">
        <f aca="false" t="array" ref="D81:D81">INDEX(Productos!$A:B,MATCH($C81,Productos!$A:$A),2)</f>
        <v>Camarón cocido</v>
      </c>
      <c r="E81" s="12" t="n">
        <v>4</v>
      </c>
      <c r="F81" s="16" t="s">
        <v>28</v>
      </c>
      <c r="G81" s="13" t="n">
        <f aca="false">IFERROR(__xludf.dummyfunction("filter(Productos!K:K,A81=Productos!A:A)"),1)</f>
        <v>1</v>
      </c>
      <c r="H81" s="4" t="n">
        <f aca="false">G81*E81</f>
        <v>4</v>
      </c>
      <c r="I81" s="4" t="str">
        <f aca="false">F81</f>
        <v>Unid</v>
      </c>
      <c r="J81" s="14" t="n">
        <f aca="false">IFERROR(__xludf.dummyfunction("roundup(H81/filter(Productos!I:I,Productos!A:A=C81),1)"),4)</f>
        <v>4</v>
      </c>
      <c r="K81" s="13"/>
      <c r="L81" s="13"/>
      <c r="M81" s="4"/>
      <c r="N81" s="13"/>
      <c r="O81" s="13"/>
      <c r="P81" s="13"/>
      <c r="Q81" s="13"/>
      <c r="R81" s="13"/>
      <c r="S81" s="13"/>
      <c r="T81" s="13"/>
      <c r="U81" s="13"/>
      <c r="V81" s="13"/>
      <c r="W81" s="13"/>
      <c r="X81" s="13"/>
      <c r="Y81" s="13"/>
      <c r="Z81" s="13"/>
      <c r="AA81" s="13"/>
    </row>
    <row r="82" customFormat="false" ht="13" hidden="false" customHeight="false" outlineLevel="0" collapsed="false">
      <c r="A82" s="13" t="n">
        <v>10011</v>
      </c>
      <c r="B82" s="4" t="str">
        <f aca="false" t="array" ref="B82:B82">INDEX(Productos!$A:B,MATCH($A82,Productos!$A:$A),COLUMN(B82))</f>
        <v>Ebi Especial</v>
      </c>
      <c r="C82" s="12" t="n">
        <v>1114</v>
      </c>
      <c r="D82" s="4" t="str">
        <f aca="false" t="array" ref="D82:D82">INDEX(Productos!$A:B,MATCH($C82,Productos!$A:$A),2)</f>
        <v>Cebollín cortado para roll</v>
      </c>
      <c r="E82" s="12" t="n">
        <v>1</v>
      </c>
      <c r="F82" s="12" t="s">
        <v>28</v>
      </c>
      <c r="G82" s="13" t="n">
        <f aca="false">IFERROR(__xludf.dummyfunction("filter(Productos!K:K,A82=Productos!A:A)"),1)</f>
        <v>1</v>
      </c>
      <c r="H82" s="4" t="n">
        <f aca="false">G82*E82</f>
        <v>1</v>
      </c>
      <c r="I82" s="4" t="str">
        <f aca="false">F82</f>
        <v>Unid</v>
      </c>
      <c r="J82" s="14" t="n">
        <f aca="false">IFERROR(__xludf.dummyfunction("roundup(H82/filter(Productos!I:I,Productos!A:A=C82),1)"),1)</f>
        <v>1</v>
      </c>
      <c r="K82" s="13"/>
      <c r="L82" s="13"/>
      <c r="M82" s="4"/>
      <c r="N82" s="13"/>
      <c r="O82" s="13"/>
      <c r="P82" s="13"/>
      <c r="Q82" s="13"/>
      <c r="R82" s="13"/>
      <c r="S82" s="13"/>
      <c r="T82" s="13"/>
      <c r="U82" s="13"/>
      <c r="V82" s="13"/>
      <c r="W82" s="13"/>
      <c r="X82" s="13"/>
      <c r="Y82" s="13"/>
      <c r="Z82" s="13"/>
      <c r="AA82" s="13"/>
    </row>
    <row r="83" customFormat="false" ht="13" hidden="false" customHeight="false" outlineLevel="0" collapsed="false">
      <c r="A83" s="13" t="n">
        <v>10011</v>
      </c>
      <c r="B83" s="4" t="str">
        <f aca="false" t="array" ref="B83:B83">INDEX(Productos!$A:B,MATCH($A83,Productos!$A:$A),COLUMN(B83))</f>
        <v>Ebi Especial</v>
      </c>
      <c r="C83" s="12" t="n">
        <v>1110</v>
      </c>
      <c r="D83" s="4" t="str">
        <f aca="false" t="array" ref="D83:D83">INDEX(Productos!$A:B,MATCH($C83,Productos!$A:$A),2)</f>
        <v>Palta cortada para envoltura</v>
      </c>
      <c r="E83" s="12" t="n">
        <v>1</v>
      </c>
      <c r="F83" s="12" t="s">
        <v>28</v>
      </c>
      <c r="G83" s="13" t="n">
        <f aca="false">IFERROR(__xludf.dummyfunction("filter(Productos!K:K,A83=Productos!A:A)"),1)</f>
        <v>1</v>
      </c>
      <c r="H83" s="4" t="n">
        <f aca="false">G83*E83</f>
        <v>1</v>
      </c>
      <c r="I83" s="4" t="str">
        <f aca="false">F83</f>
        <v>Unid</v>
      </c>
      <c r="J83" s="14" t="n">
        <f aca="false">IFERROR(__xludf.dummyfunction("roundup(H83/filter(Productos!I:I,Productos!A:A=C83),1)"),1)</f>
        <v>1</v>
      </c>
      <c r="K83" s="13"/>
      <c r="L83" s="13"/>
      <c r="M83" s="4"/>
      <c r="N83" s="13"/>
      <c r="O83" s="13"/>
      <c r="P83" s="13"/>
      <c r="Q83" s="13"/>
      <c r="R83" s="13"/>
      <c r="S83" s="13"/>
      <c r="T83" s="13"/>
      <c r="U83" s="13"/>
      <c r="V83" s="13"/>
      <c r="W83" s="13"/>
      <c r="X83" s="13"/>
      <c r="Y83" s="13"/>
      <c r="Z83" s="13"/>
      <c r="AA83" s="13"/>
    </row>
    <row r="84" customFormat="false" ht="13" hidden="false" customHeight="false" outlineLevel="0" collapsed="false">
      <c r="A84" s="13" t="n">
        <v>10011</v>
      </c>
      <c r="B84" s="4" t="str">
        <f aca="false" t="array" ref="B84:B84">INDEX(Productos!$A:B,MATCH($A84,Productos!$A:$A),COLUMN(B84))</f>
        <v>Ebi Especial</v>
      </c>
      <c r="C84" s="12" t="n">
        <v>1112</v>
      </c>
      <c r="D84" s="4" t="str">
        <f aca="false" t="array" ref="D84:D84">INDEX(Productos!$A:B,MATCH($C84,Productos!$A:$A),2)</f>
        <v>Queso crema para roll</v>
      </c>
      <c r="E84" s="12" t="n">
        <v>1</v>
      </c>
      <c r="F84" s="12" t="s">
        <v>28</v>
      </c>
      <c r="G84" s="13" t="n">
        <f aca="false">IFERROR(__xludf.dummyfunction("filter(Productos!K:K,A84=Productos!A:A)"),1)</f>
        <v>1</v>
      </c>
      <c r="H84" s="4" t="n">
        <f aca="false">G84*E84</f>
        <v>1</v>
      </c>
      <c r="I84" s="4" t="str">
        <f aca="false">F84</f>
        <v>Unid</v>
      </c>
      <c r="J84" s="14" t="n">
        <f aca="false">IFERROR(__xludf.dummyfunction("roundup(H84/filter(Productos!I:I,Productos!A:A=C84),1)"),1)</f>
        <v>1</v>
      </c>
      <c r="K84" s="13"/>
      <c r="L84" s="13"/>
      <c r="M84" s="4"/>
      <c r="N84" s="13"/>
      <c r="O84" s="13"/>
      <c r="P84" s="13"/>
      <c r="Q84" s="13"/>
      <c r="R84" s="13"/>
      <c r="S84" s="13"/>
      <c r="T84" s="13"/>
      <c r="U84" s="13"/>
      <c r="V84" s="13"/>
      <c r="W84" s="13"/>
      <c r="X84" s="13"/>
      <c r="Y84" s="13"/>
      <c r="Z84" s="13"/>
      <c r="AA84" s="13"/>
    </row>
    <row r="85" customFormat="false" ht="13" hidden="false" customHeight="false" outlineLevel="0" collapsed="false">
      <c r="A85" s="4" t="n">
        <v>10011</v>
      </c>
      <c r="B85" s="4" t="str">
        <f aca="false" t="array" ref="B85:B85">INDEX(Productos!$A:B,MATCH($A85,Productos!$A:$A),COLUMN(B85))</f>
        <v>Ebi Especial</v>
      </c>
      <c r="C85" s="12" t="n">
        <v>1116</v>
      </c>
      <c r="D85" s="4" t="str">
        <f aca="false" t="array" ref="D85:D85">INDEX(Productos!$A:B,MATCH($C85,Productos!$A:$A),2)</f>
        <v>Nori entero cortado para roll</v>
      </c>
      <c r="E85" s="12" t="n">
        <v>1</v>
      </c>
      <c r="F85" s="12" t="s">
        <v>28</v>
      </c>
      <c r="G85" s="13" t="n">
        <f aca="false">IFERROR(__xludf.dummyfunction("filter(Productos!K:K,A85=Productos!A:A)"),1)</f>
        <v>1</v>
      </c>
      <c r="H85" s="4" t="n">
        <f aca="false">G85*E85</f>
        <v>1</v>
      </c>
      <c r="I85" s="4" t="str">
        <f aca="false">F85</f>
        <v>Unid</v>
      </c>
      <c r="J85" s="14" t="n">
        <f aca="false">IFERROR(__xludf.dummyfunction("roundup(H85/filter(Productos!I:I,Productos!A:A=C85),1)"),1)</f>
        <v>1</v>
      </c>
      <c r="K85" s="13"/>
      <c r="L85" s="4"/>
      <c r="M85" s="4"/>
      <c r="N85" s="13"/>
      <c r="O85" s="13"/>
      <c r="P85" s="13"/>
      <c r="Q85" s="13"/>
      <c r="R85" s="13"/>
      <c r="S85" s="13"/>
      <c r="T85" s="13"/>
      <c r="U85" s="13"/>
      <c r="V85" s="13"/>
      <c r="W85" s="13"/>
      <c r="X85" s="13"/>
      <c r="Y85" s="13"/>
      <c r="Z85" s="13"/>
      <c r="AA85" s="13"/>
    </row>
    <row r="86" customFormat="false" ht="13" hidden="false" customHeight="false" outlineLevel="0" collapsed="false">
      <c r="A86" s="13" t="n">
        <v>10012</v>
      </c>
      <c r="B86" s="4" t="str">
        <f aca="false" t="array" ref="B86:B86">INDEX(Productos!$A:B,MATCH($A86,Productos!$A:$A),COLUMN(B86))</f>
        <v>Turo</v>
      </c>
      <c r="C86" s="12" t="n">
        <v>1201</v>
      </c>
      <c r="D86" s="4" t="str">
        <f aca="false" t="array" ref="D86:D86">INDEX(Productos!$A:B,MATCH($C86,Productos!$A:$A),2)</f>
        <v>Arroz cocido para roll</v>
      </c>
      <c r="E86" s="12" t="n">
        <v>1</v>
      </c>
      <c r="F86" s="12" t="s">
        <v>28</v>
      </c>
      <c r="G86" s="13" t="n">
        <f aca="false">IFERROR(__xludf.dummyfunction("filter(Productos!K:K,A86=Productos!A:A)"),1)</f>
        <v>1</v>
      </c>
      <c r="H86" s="4" t="n">
        <f aca="false">G86*E86</f>
        <v>1</v>
      </c>
      <c r="I86" s="4" t="str">
        <f aca="false">F86</f>
        <v>Unid</v>
      </c>
      <c r="J86" s="14" t="n">
        <f aca="false">IFERROR(__xludf.dummyfunction("roundup(H86/filter(Productos!I:I,Productos!A:A=C86),1)"),1)</f>
        <v>1</v>
      </c>
      <c r="K86" s="13"/>
      <c r="L86" s="13"/>
      <c r="M86" s="4"/>
      <c r="N86" s="13"/>
      <c r="O86" s="13"/>
      <c r="P86" s="13"/>
      <c r="Q86" s="13"/>
      <c r="R86" s="13"/>
      <c r="S86" s="13"/>
      <c r="T86" s="13"/>
      <c r="U86" s="13"/>
      <c r="V86" s="13"/>
      <c r="W86" s="13"/>
      <c r="X86" s="13"/>
      <c r="Y86" s="13"/>
      <c r="Z86" s="13"/>
      <c r="AA86" s="13"/>
    </row>
    <row r="87" customFormat="false" ht="13" hidden="false" customHeight="false" outlineLevel="0" collapsed="false">
      <c r="A87" s="13" t="n">
        <v>10012</v>
      </c>
      <c r="B87" s="4" t="str">
        <f aca="false" t="array" ref="B87:B87">INDEX(Productos!$A:B,MATCH($A87,Productos!$A:$A),COLUMN(B87))</f>
        <v>Turo</v>
      </c>
      <c r="C87" s="12" t="n">
        <v>1106</v>
      </c>
      <c r="D87" s="4" t="str">
        <f aca="false" t="array" ref="D87:D87">INDEX(Productos!$A:B,MATCH($C87,Productos!$A:$A),2)</f>
        <v>Camarón cocido</v>
      </c>
      <c r="E87" s="12" t="n">
        <v>4</v>
      </c>
      <c r="F87" s="16" t="s">
        <v>28</v>
      </c>
      <c r="G87" s="13" t="n">
        <f aca="false">IFERROR(__xludf.dummyfunction("filter(Productos!K:K,A87=Productos!A:A)"),1)</f>
        <v>1</v>
      </c>
      <c r="H87" s="4" t="n">
        <f aca="false">G87*E87</f>
        <v>4</v>
      </c>
      <c r="I87" s="4" t="str">
        <f aca="false">F87</f>
        <v>Unid</v>
      </c>
      <c r="J87" s="14" t="n">
        <f aca="false">IFERROR(__xludf.dummyfunction("roundup(H87/filter(Productos!I:I,Productos!A:A=C87),1)"),4)</f>
        <v>4</v>
      </c>
      <c r="K87" s="13"/>
      <c r="L87" s="13"/>
      <c r="M87" s="4"/>
      <c r="N87" s="13"/>
      <c r="O87" s="13"/>
      <c r="P87" s="13"/>
      <c r="Q87" s="13"/>
      <c r="R87" s="13"/>
      <c r="S87" s="13"/>
      <c r="T87" s="13"/>
      <c r="U87" s="13"/>
      <c r="V87" s="13"/>
      <c r="W87" s="13"/>
      <c r="X87" s="13"/>
      <c r="Y87" s="13"/>
      <c r="Z87" s="13"/>
      <c r="AA87" s="13"/>
    </row>
    <row r="88" customFormat="false" ht="13" hidden="false" customHeight="false" outlineLevel="0" collapsed="false">
      <c r="A88" s="13" t="n">
        <v>10012</v>
      </c>
      <c r="B88" s="4" t="str">
        <f aca="false" t="array" ref="B88:B88">INDEX(Productos!$A:B,MATCH($A88,Productos!$A:$A),COLUMN(B88))</f>
        <v>Turo</v>
      </c>
      <c r="C88" s="12" t="n">
        <v>1110</v>
      </c>
      <c r="D88" s="4" t="str">
        <f aca="false" t="array" ref="D88:D88">INDEX(Productos!$A:B,MATCH($C88,Productos!$A:$A),2)</f>
        <v>Palta cortada para envoltura</v>
      </c>
      <c r="E88" s="12" t="n">
        <v>1</v>
      </c>
      <c r="F88" s="12" t="s">
        <v>28</v>
      </c>
      <c r="G88" s="13" t="n">
        <f aca="false">IFERROR(__xludf.dummyfunction("filter(Productos!K:K,A88=Productos!A:A)"),1)</f>
        <v>1</v>
      </c>
      <c r="H88" s="4" t="n">
        <f aca="false">G88*E88</f>
        <v>1</v>
      </c>
      <c r="I88" s="4" t="str">
        <f aca="false">F88</f>
        <v>Unid</v>
      </c>
      <c r="J88" s="14" t="n">
        <f aca="false">IFERROR(__xludf.dummyfunction("roundup(H88/filter(Productos!I:I,Productos!A:A=C88),1)"),1)</f>
        <v>1</v>
      </c>
      <c r="K88" s="13"/>
      <c r="L88" s="13"/>
      <c r="M88" s="4"/>
      <c r="N88" s="13"/>
      <c r="O88" s="13"/>
      <c r="P88" s="13"/>
      <c r="Q88" s="13"/>
      <c r="R88" s="13"/>
      <c r="S88" s="13"/>
      <c r="T88" s="13"/>
      <c r="U88" s="13"/>
      <c r="V88" s="13"/>
      <c r="W88" s="13"/>
      <c r="X88" s="13"/>
      <c r="Y88" s="13"/>
      <c r="Z88" s="13"/>
      <c r="AA88" s="13"/>
    </row>
    <row r="89" customFormat="false" ht="13" hidden="false" customHeight="false" outlineLevel="0" collapsed="false">
      <c r="A89" s="13" t="n">
        <v>10012</v>
      </c>
      <c r="B89" s="4" t="str">
        <f aca="false" t="array" ref="B89:B89">INDEX(Productos!$A:B,MATCH($A89,Productos!$A:$A),COLUMN(B89))</f>
        <v>Turo</v>
      </c>
      <c r="C89" s="12" t="n">
        <v>1112</v>
      </c>
      <c r="D89" s="4" t="str">
        <f aca="false" t="array" ref="D89:D89">INDEX(Productos!$A:B,MATCH($C89,Productos!$A:$A),2)</f>
        <v>Queso crema para roll</v>
      </c>
      <c r="E89" s="12" t="n">
        <v>1</v>
      </c>
      <c r="F89" s="12" t="s">
        <v>28</v>
      </c>
      <c r="G89" s="13" t="n">
        <f aca="false">IFERROR(__xludf.dummyfunction("filter(Productos!K:K,A89=Productos!A:A)"),1)</f>
        <v>1</v>
      </c>
      <c r="H89" s="4" t="n">
        <f aca="false">G89*E89</f>
        <v>1</v>
      </c>
      <c r="I89" s="4" t="str">
        <f aca="false">F89</f>
        <v>Unid</v>
      </c>
      <c r="J89" s="14" t="n">
        <f aca="false">IFERROR(__xludf.dummyfunction("roundup(H89/filter(Productos!I:I,Productos!A:A=C89),1)"),1)</f>
        <v>1</v>
      </c>
      <c r="K89" s="13"/>
      <c r="L89" s="13"/>
      <c r="M89" s="4"/>
      <c r="N89" s="13"/>
      <c r="O89" s="13"/>
      <c r="P89" s="13"/>
      <c r="Q89" s="13"/>
      <c r="R89" s="13"/>
      <c r="S89" s="13"/>
      <c r="T89" s="13"/>
      <c r="U89" s="13"/>
      <c r="V89" s="13"/>
      <c r="W89" s="13"/>
      <c r="X89" s="13"/>
      <c r="Y89" s="13"/>
      <c r="Z89" s="13"/>
      <c r="AA89" s="13"/>
    </row>
    <row r="90" customFormat="false" ht="13" hidden="false" customHeight="false" outlineLevel="0" collapsed="false">
      <c r="A90" s="13" t="n">
        <v>10012</v>
      </c>
      <c r="B90" s="4" t="str">
        <f aca="false" t="array" ref="B90:B90">INDEX(Productos!$A:B,MATCH($A90,Productos!$A:$A),COLUMN(B90))</f>
        <v>Turo</v>
      </c>
      <c r="C90" s="12" t="n">
        <v>1108</v>
      </c>
      <c r="D90" s="4" t="str">
        <f aca="false" t="array" ref="D90:D90">INDEX(Productos!$A:B,MATCH($C90,Productos!$A:$A),2)</f>
        <v>Salmón ahumado cortado para roll</v>
      </c>
      <c r="E90" s="12" t="n">
        <v>1</v>
      </c>
      <c r="F90" s="12" t="s">
        <v>28</v>
      </c>
      <c r="G90" s="13" t="n">
        <f aca="false">IFERROR(__xludf.dummyfunction("filter(Productos!K:K,A90=Productos!A:A)"),1)</f>
        <v>1</v>
      </c>
      <c r="H90" s="4" t="n">
        <f aca="false">G90*E90</f>
        <v>1</v>
      </c>
      <c r="I90" s="4" t="str">
        <f aca="false">F90</f>
        <v>Unid</v>
      </c>
      <c r="J90" s="14" t="n">
        <f aca="false">IFERROR(__xludf.dummyfunction("roundup(H90/filter(Productos!I:I,Productos!A:A=C90),1)"),1)</f>
        <v>1</v>
      </c>
      <c r="K90" s="13"/>
      <c r="L90" s="13"/>
      <c r="M90" s="4"/>
      <c r="N90" s="13"/>
      <c r="O90" s="13"/>
      <c r="P90" s="13"/>
      <c r="Q90" s="13"/>
      <c r="R90" s="13"/>
      <c r="S90" s="13"/>
      <c r="T90" s="13"/>
      <c r="U90" s="13"/>
      <c r="V90" s="13"/>
      <c r="W90" s="13"/>
      <c r="X90" s="13"/>
      <c r="Y90" s="13"/>
      <c r="Z90" s="13"/>
      <c r="AA90" s="13"/>
    </row>
    <row r="91" customFormat="false" ht="13" hidden="false" customHeight="false" outlineLevel="0" collapsed="false">
      <c r="A91" s="4" t="n">
        <v>10012</v>
      </c>
      <c r="B91" s="4" t="str">
        <f aca="false" t="array" ref="B91:B91">INDEX(Productos!$A:B,MATCH($A91,Productos!$A:$A),COLUMN(B91))</f>
        <v>Turo</v>
      </c>
      <c r="C91" s="12" t="n">
        <v>1116</v>
      </c>
      <c r="D91" s="4" t="str">
        <f aca="false" t="array" ref="D91:D91">INDEX(Productos!$A:B,MATCH($C91,Productos!$A:$A),2)</f>
        <v>Nori entero cortado para roll</v>
      </c>
      <c r="E91" s="12" t="n">
        <v>1</v>
      </c>
      <c r="F91" s="12" t="s">
        <v>28</v>
      </c>
      <c r="G91" s="13" t="n">
        <f aca="false">IFERROR(__xludf.dummyfunction("filter(Productos!K:K,A91=Productos!A:A)"),1)</f>
        <v>1</v>
      </c>
      <c r="H91" s="4" t="n">
        <f aca="false">G91*E91</f>
        <v>1</v>
      </c>
      <c r="I91" s="4" t="str">
        <f aca="false">F91</f>
        <v>Unid</v>
      </c>
      <c r="J91" s="14" t="n">
        <f aca="false">IFERROR(__xludf.dummyfunction("roundup(H91/filter(Productos!I:I,Productos!A:A=C91),1)"),1)</f>
        <v>1</v>
      </c>
      <c r="K91" s="13"/>
      <c r="L91" s="4"/>
      <c r="M91" s="4"/>
      <c r="N91" s="13"/>
      <c r="O91" s="13"/>
      <c r="P91" s="13"/>
      <c r="Q91" s="13"/>
      <c r="R91" s="13"/>
      <c r="S91" s="13"/>
      <c r="T91" s="13"/>
      <c r="U91" s="13"/>
      <c r="V91" s="13"/>
      <c r="W91" s="13"/>
      <c r="X91" s="13"/>
      <c r="Y91" s="13"/>
      <c r="Z91" s="13"/>
      <c r="AA91" s="13"/>
    </row>
    <row r="92" customFormat="false" ht="13" hidden="false" customHeight="false" outlineLevel="0" collapsed="false">
      <c r="A92" s="13" t="n">
        <v>10013</v>
      </c>
      <c r="B92" s="4" t="str">
        <f aca="false" t="array" ref="B92:B92">INDEX(Productos!$A:B,MATCH($A92,Productos!$A:$A),COLUMN(B92))</f>
        <v>Coca</v>
      </c>
      <c r="C92" s="12" t="n">
        <v>1201</v>
      </c>
      <c r="D92" s="4" t="str">
        <f aca="false" t="array" ref="D92:D92">INDEX(Productos!$A:B,MATCH($C92,Productos!$A:$A),2)</f>
        <v>Arroz cocido para roll</v>
      </c>
      <c r="E92" s="12" t="n">
        <v>1</v>
      </c>
      <c r="F92" s="12" t="s">
        <v>28</v>
      </c>
      <c r="G92" s="13" t="n">
        <f aca="false">IFERROR(__xludf.dummyfunction("filter(Productos!K:K,A92=Productos!A:A)"),1)</f>
        <v>1</v>
      </c>
      <c r="H92" s="4" t="n">
        <f aca="false">G92*E92</f>
        <v>1</v>
      </c>
      <c r="I92" s="4" t="str">
        <f aca="false">F92</f>
        <v>Unid</v>
      </c>
      <c r="J92" s="14" t="n">
        <f aca="false">IFERROR(__xludf.dummyfunction("roundup(H92/filter(Productos!I:I,Productos!A:A=C92),1)"),1)</f>
        <v>1</v>
      </c>
      <c r="K92" s="13"/>
      <c r="L92" s="13"/>
      <c r="M92" s="4"/>
      <c r="N92" s="13"/>
      <c r="O92" s="13"/>
      <c r="P92" s="13"/>
      <c r="Q92" s="13"/>
      <c r="R92" s="13"/>
      <c r="S92" s="13"/>
      <c r="T92" s="13"/>
      <c r="U92" s="13"/>
      <c r="V92" s="13"/>
      <c r="W92" s="13"/>
      <c r="X92" s="13"/>
      <c r="Y92" s="13"/>
      <c r="Z92" s="13"/>
      <c r="AA92" s="13"/>
    </row>
    <row r="93" customFormat="false" ht="13" hidden="false" customHeight="false" outlineLevel="0" collapsed="false">
      <c r="A93" s="13" t="n">
        <v>10013</v>
      </c>
      <c r="B93" s="4" t="str">
        <f aca="false" t="array" ref="B93:B93">INDEX(Productos!$A:B,MATCH($A93,Productos!$A:$A),COLUMN(B93))</f>
        <v>Coca</v>
      </c>
      <c r="C93" s="12" t="n">
        <v>1106</v>
      </c>
      <c r="D93" s="4" t="str">
        <f aca="false" t="array" ref="D93:D93">INDEX(Productos!$A:B,MATCH($C93,Productos!$A:$A),2)</f>
        <v>Camarón cocido</v>
      </c>
      <c r="E93" s="12" t="n">
        <v>4</v>
      </c>
      <c r="F93" s="16" t="s">
        <v>28</v>
      </c>
      <c r="G93" s="13" t="n">
        <f aca="false">IFERROR(__xludf.dummyfunction("filter(Productos!K:K,A93=Productos!A:A)"),1)</f>
        <v>1</v>
      </c>
      <c r="H93" s="4" t="n">
        <f aca="false">G93*E93</f>
        <v>4</v>
      </c>
      <c r="I93" s="4" t="str">
        <f aca="false">F93</f>
        <v>Unid</v>
      </c>
      <c r="J93" s="14" t="n">
        <f aca="false">IFERROR(__xludf.dummyfunction("roundup(H93/filter(Productos!I:I,Productos!A:A=C93),1)"),4)</f>
        <v>4</v>
      </c>
      <c r="K93" s="13"/>
      <c r="L93" s="13"/>
      <c r="M93" s="4"/>
      <c r="N93" s="13"/>
      <c r="O93" s="13"/>
      <c r="P93" s="13"/>
      <c r="Q93" s="13"/>
      <c r="R93" s="13"/>
      <c r="S93" s="13"/>
      <c r="T93" s="13"/>
      <c r="U93" s="13"/>
      <c r="V93" s="13"/>
      <c r="W93" s="13"/>
      <c r="X93" s="13"/>
      <c r="Y93" s="13"/>
      <c r="Z93" s="13"/>
      <c r="AA93" s="13"/>
    </row>
    <row r="94" customFormat="false" ht="13" hidden="false" customHeight="false" outlineLevel="0" collapsed="false">
      <c r="A94" s="13" t="n">
        <v>10013</v>
      </c>
      <c r="B94" s="4" t="str">
        <f aca="false" t="array" ref="B94:B94">INDEX(Productos!$A:B,MATCH($A94,Productos!$A:$A),COLUMN(B94))</f>
        <v>Coca</v>
      </c>
      <c r="C94" s="12" t="n">
        <v>1110</v>
      </c>
      <c r="D94" s="4" t="str">
        <f aca="false" t="array" ref="D94:D94">INDEX(Productos!$A:B,MATCH($C94,Productos!$A:$A),2)</f>
        <v>Palta cortada para envoltura</v>
      </c>
      <c r="E94" s="12" t="n">
        <v>1</v>
      </c>
      <c r="F94" s="12" t="s">
        <v>28</v>
      </c>
      <c r="G94" s="13" t="n">
        <f aca="false">IFERROR(__xludf.dummyfunction("filter(Productos!K:K,A94=Productos!A:A)"),1)</f>
        <v>1</v>
      </c>
      <c r="H94" s="4" t="n">
        <f aca="false">G94*E94</f>
        <v>1</v>
      </c>
      <c r="I94" s="4" t="str">
        <f aca="false">F94</f>
        <v>Unid</v>
      </c>
      <c r="J94" s="14" t="n">
        <f aca="false">IFERROR(__xludf.dummyfunction("roundup(H94/filter(Productos!I:I,Productos!A:A=C94),1)"),1)</f>
        <v>1</v>
      </c>
      <c r="K94" s="13"/>
      <c r="L94" s="13"/>
      <c r="M94" s="4"/>
      <c r="N94" s="13"/>
      <c r="O94" s="13"/>
      <c r="P94" s="13"/>
      <c r="Q94" s="13"/>
      <c r="R94" s="13"/>
      <c r="S94" s="13"/>
      <c r="T94" s="13"/>
      <c r="U94" s="13"/>
      <c r="V94" s="13"/>
      <c r="W94" s="13"/>
      <c r="X94" s="13"/>
      <c r="Y94" s="13"/>
      <c r="Z94" s="13"/>
      <c r="AA94" s="13"/>
    </row>
    <row r="95" customFormat="false" ht="13" hidden="false" customHeight="false" outlineLevel="0" collapsed="false">
      <c r="A95" s="13" t="n">
        <v>10013</v>
      </c>
      <c r="B95" s="4" t="str">
        <f aca="false" t="array" ref="B95:B95">INDEX(Productos!$A:B,MATCH($A95,Productos!$A:$A),COLUMN(B95))</f>
        <v>Coca</v>
      </c>
      <c r="C95" s="12" t="n">
        <v>1112</v>
      </c>
      <c r="D95" s="4" t="str">
        <f aca="false" t="array" ref="D95:D95">INDEX(Productos!$A:B,MATCH($C95,Productos!$A:$A),2)</f>
        <v>Queso crema para roll</v>
      </c>
      <c r="E95" s="12" t="n">
        <v>1</v>
      </c>
      <c r="F95" s="12" t="s">
        <v>28</v>
      </c>
      <c r="G95" s="13" t="n">
        <f aca="false">IFERROR(__xludf.dummyfunction("filter(Productos!K:K,A95=Productos!A:A)"),1)</f>
        <v>1</v>
      </c>
      <c r="H95" s="4" t="n">
        <f aca="false">G95*E95</f>
        <v>1</v>
      </c>
      <c r="I95" s="4" t="str">
        <f aca="false">F95</f>
        <v>Unid</v>
      </c>
      <c r="J95" s="14" t="n">
        <f aca="false">IFERROR(__xludf.dummyfunction("roundup(H95/filter(Productos!I:I,Productos!A:A=C95),1)"),1)</f>
        <v>1</v>
      </c>
      <c r="K95" s="13"/>
      <c r="L95" s="13"/>
      <c r="M95" s="4"/>
      <c r="N95" s="13"/>
      <c r="O95" s="13"/>
      <c r="P95" s="13"/>
      <c r="Q95" s="13"/>
      <c r="R95" s="13"/>
      <c r="S95" s="13"/>
      <c r="T95" s="13"/>
      <c r="U95" s="13"/>
      <c r="V95" s="13"/>
      <c r="W95" s="13"/>
      <c r="X95" s="13"/>
      <c r="Y95" s="13"/>
      <c r="Z95" s="13"/>
      <c r="AA95" s="13"/>
    </row>
    <row r="96" customFormat="false" ht="13" hidden="false" customHeight="false" outlineLevel="0" collapsed="false">
      <c r="A96" s="4" t="n">
        <v>10013</v>
      </c>
      <c r="B96" s="4" t="str">
        <f aca="false" t="array" ref="B96:B96">INDEX(Productos!$A:B,MATCH($A96,Productos!$A:$A),COLUMN(B96))</f>
        <v>Coca</v>
      </c>
      <c r="C96" s="12" t="n">
        <v>1116</v>
      </c>
      <c r="D96" s="4" t="str">
        <f aca="false" t="array" ref="D96:D96">INDEX(Productos!$A:B,MATCH($C96,Productos!$A:$A),2)</f>
        <v>Nori entero cortado para roll</v>
      </c>
      <c r="E96" s="12" t="n">
        <v>1</v>
      </c>
      <c r="F96" s="12" t="s">
        <v>28</v>
      </c>
      <c r="G96" s="13" t="n">
        <f aca="false">IFERROR(__xludf.dummyfunction("filter(Productos!K:K,A96=Productos!A:A)"),1)</f>
        <v>1</v>
      </c>
      <c r="H96" s="4" t="n">
        <f aca="false">G96*E96</f>
        <v>1</v>
      </c>
      <c r="I96" s="4" t="str">
        <f aca="false">F96</f>
        <v>Unid</v>
      </c>
      <c r="J96" s="14" t="n">
        <f aca="false">IFERROR(__xludf.dummyfunction("roundup(H96/filter(Productos!I:I,Productos!A:A=C96),1)"),1)</f>
        <v>1</v>
      </c>
      <c r="K96" s="13"/>
      <c r="L96" s="4"/>
      <c r="M96" s="4"/>
      <c r="N96" s="13"/>
      <c r="O96" s="13"/>
      <c r="P96" s="13"/>
      <c r="Q96" s="13"/>
      <c r="R96" s="13"/>
      <c r="S96" s="13"/>
      <c r="T96" s="13"/>
      <c r="U96" s="13"/>
      <c r="V96" s="13"/>
      <c r="W96" s="13"/>
      <c r="X96" s="13"/>
      <c r="Y96" s="13"/>
      <c r="Z96" s="13"/>
      <c r="AA96" s="13"/>
    </row>
    <row r="97" customFormat="false" ht="13" hidden="false" customHeight="false" outlineLevel="0" collapsed="false">
      <c r="A97" s="13" t="n">
        <v>10014</v>
      </c>
      <c r="B97" s="4" t="str">
        <f aca="false" t="array" ref="B97:B97">INDEX(Productos!$A:B,MATCH($A97,Productos!$A:$A),COLUMN(B97))</f>
        <v>Akita</v>
      </c>
      <c r="C97" s="12" t="n">
        <v>1201</v>
      </c>
      <c r="D97" s="4" t="str">
        <f aca="false" t="array" ref="D97:D97">INDEX(Productos!$A:B,MATCH($C97,Productos!$A:$A),2)</f>
        <v>Arroz cocido para roll</v>
      </c>
      <c r="E97" s="12" t="n">
        <v>1</v>
      </c>
      <c r="F97" s="12" t="s">
        <v>28</v>
      </c>
      <c r="G97" s="13" t="n">
        <f aca="false">IFERROR(__xludf.dummyfunction("filter(Productos!K:K,A97=Productos!A:A)"),1)</f>
        <v>1</v>
      </c>
      <c r="H97" s="4" t="n">
        <f aca="false">G97*E97</f>
        <v>1</v>
      </c>
      <c r="I97" s="4" t="str">
        <f aca="false">F97</f>
        <v>Unid</v>
      </c>
      <c r="J97" s="14" t="n">
        <f aca="false">IFERROR(__xludf.dummyfunction("roundup(H97/filter(Productos!I:I,Productos!A:A=C97),1)"),1)</f>
        <v>1</v>
      </c>
      <c r="K97" s="13"/>
      <c r="L97" s="13"/>
      <c r="M97" s="4"/>
      <c r="N97" s="13"/>
      <c r="O97" s="13"/>
      <c r="P97" s="13"/>
      <c r="Q97" s="13"/>
      <c r="R97" s="13"/>
      <c r="S97" s="13"/>
      <c r="T97" s="13"/>
      <c r="U97" s="13"/>
      <c r="V97" s="13"/>
      <c r="W97" s="13"/>
      <c r="X97" s="13"/>
      <c r="Y97" s="13"/>
      <c r="Z97" s="13"/>
      <c r="AA97" s="13"/>
    </row>
    <row r="98" customFormat="false" ht="13" hidden="false" customHeight="false" outlineLevel="0" collapsed="false">
      <c r="A98" s="13" t="n">
        <v>10014</v>
      </c>
      <c r="B98" s="4" t="str">
        <f aca="false" t="array" ref="B98:B98">INDEX(Productos!$A:B,MATCH($A98,Productos!$A:$A),COLUMN(B98))</f>
        <v>Akita</v>
      </c>
      <c r="C98" s="12" t="n">
        <v>1105</v>
      </c>
      <c r="D98" s="4" t="str">
        <f aca="false" t="array" ref="D98:D98">INDEX(Productos!$A:B,MATCH($C98,Productos!$A:$A),2)</f>
        <v>Kanikama para roll</v>
      </c>
      <c r="E98" s="12" t="n">
        <v>1</v>
      </c>
      <c r="F98" s="12" t="s">
        <v>28</v>
      </c>
      <c r="G98" s="13" t="n">
        <f aca="false">IFERROR(__xludf.dummyfunction("filter(Productos!K:K,A98=Productos!A:A)"),1)</f>
        <v>1</v>
      </c>
      <c r="H98" s="4" t="n">
        <f aca="false">G98*E98</f>
        <v>1</v>
      </c>
      <c r="I98" s="4" t="str">
        <f aca="false">F98</f>
        <v>Unid</v>
      </c>
      <c r="J98" s="14" t="n">
        <f aca="false">IFERROR(__xludf.dummyfunction("roundup(H98/filter(Productos!I:I,Productos!A:A=C98),1)"),1)</f>
        <v>1</v>
      </c>
      <c r="K98" s="13"/>
      <c r="L98" s="13"/>
      <c r="M98" s="4"/>
      <c r="N98" s="13"/>
      <c r="O98" s="13"/>
      <c r="P98" s="13"/>
      <c r="Q98" s="13"/>
      <c r="R98" s="13"/>
      <c r="S98" s="13"/>
      <c r="T98" s="13"/>
      <c r="U98" s="13"/>
      <c r="V98" s="13"/>
      <c r="W98" s="13"/>
      <c r="X98" s="13"/>
      <c r="Y98" s="13"/>
      <c r="Z98" s="13"/>
      <c r="AA98" s="13"/>
    </row>
    <row r="99" customFormat="false" ht="13" hidden="false" customHeight="false" outlineLevel="0" collapsed="false">
      <c r="A99" s="13" t="n">
        <v>10014</v>
      </c>
      <c r="B99" s="4" t="str">
        <f aca="false" t="array" ref="B99:B99">INDEX(Productos!$A:B,MATCH($A99,Productos!$A:$A),COLUMN(B99))</f>
        <v>Akita</v>
      </c>
      <c r="C99" s="12" t="n">
        <v>1110</v>
      </c>
      <c r="D99" s="4" t="str">
        <f aca="false" t="array" ref="D99:D99">INDEX(Productos!$A:B,MATCH($C99,Productos!$A:$A),2)</f>
        <v>Palta cortada para envoltura</v>
      </c>
      <c r="E99" s="12" t="n">
        <v>1</v>
      </c>
      <c r="F99" s="12" t="s">
        <v>28</v>
      </c>
      <c r="G99" s="13" t="n">
        <f aca="false">IFERROR(__xludf.dummyfunction("filter(Productos!K:K,A99=Productos!A:A)"),1)</f>
        <v>1</v>
      </c>
      <c r="H99" s="4" t="n">
        <f aca="false">G99*E99</f>
        <v>1</v>
      </c>
      <c r="I99" s="4" t="str">
        <f aca="false">F99</f>
        <v>Unid</v>
      </c>
      <c r="J99" s="14" t="n">
        <f aca="false">IFERROR(__xludf.dummyfunction("roundup(H99/filter(Productos!I:I,Productos!A:A=C99),1)"),1)</f>
        <v>1</v>
      </c>
      <c r="K99" s="13"/>
      <c r="L99" s="13"/>
      <c r="M99" s="4"/>
      <c r="N99" s="13"/>
      <c r="O99" s="13"/>
      <c r="P99" s="13"/>
      <c r="Q99" s="13"/>
      <c r="R99" s="13"/>
      <c r="S99" s="13"/>
      <c r="T99" s="13"/>
      <c r="U99" s="13"/>
      <c r="V99" s="13"/>
      <c r="W99" s="13"/>
      <c r="X99" s="13"/>
      <c r="Y99" s="13"/>
      <c r="Z99" s="13"/>
      <c r="AA99" s="13"/>
    </row>
    <row r="100" customFormat="false" ht="13" hidden="false" customHeight="false" outlineLevel="0" collapsed="false">
      <c r="A100" s="13" t="n">
        <v>10014</v>
      </c>
      <c r="B100" s="4" t="str">
        <f aca="false" t="array" ref="B100:B100">INDEX(Productos!$A:B,MATCH($A100,Productos!$A:$A),COLUMN(B100))</f>
        <v>Akita</v>
      </c>
      <c r="C100" s="12" t="n">
        <v>1112</v>
      </c>
      <c r="D100" s="4" t="str">
        <f aca="false" t="array" ref="D100:D100">INDEX(Productos!$A:B,MATCH($C100,Productos!$A:$A),2)</f>
        <v>Queso crema para roll</v>
      </c>
      <c r="E100" s="12" t="n">
        <v>1</v>
      </c>
      <c r="F100" s="12" t="s">
        <v>28</v>
      </c>
      <c r="G100" s="13" t="n">
        <f aca="false">IFERROR(__xludf.dummyfunction("filter(Productos!K:K,A100=Productos!A:A)"),1)</f>
        <v>1</v>
      </c>
      <c r="H100" s="4" t="n">
        <f aca="false">G100*E100</f>
        <v>1</v>
      </c>
      <c r="I100" s="4" t="str">
        <f aca="false">F100</f>
        <v>Unid</v>
      </c>
      <c r="J100" s="14" t="n">
        <f aca="false">IFERROR(__xludf.dummyfunction("roundup(H100/filter(Productos!I:I,Productos!A:A=C100),1)"),1)</f>
        <v>1</v>
      </c>
      <c r="K100" s="13"/>
      <c r="L100" s="13"/>
      <c r="M100" s="4"/>
      <c r="N100" s="13"/>
      <c r="O100" s="13"/>
      <c r="P100" s="13"/>
      <c r="Q100" s="13"/>
      <c r="R100" s="13"/>
      <c r="S100" s="13"/>
      <c r="T100" s="13"/>
      <c r="U100" s="13"/>
      <c r="V100" s="13"/>
      <c r="W100" s="13"/>
      <c r="X100" s="13"/>
      <c r="Y100" s="13"/>
      <c r="Z100" s="13"/>
      <c r="AA100" s="13"/>
    </row>
    <row r="101" customFormat="false" ht="13" hidden="false" customHeight="false" outlineLevel="0" collapsed="false">
      <c r="A101" s="4" t="n">
        <v>10014</v>
      </c>
      <c r="B101" s="4" t="str">
        <f aca="false" t="array" ref="B101:B101">INDEX(Productos!$A:B,MATCH($A101,Productos!$A:$A),COLUMN(B101))</f>
        <v>Akita</v>
      </c>
      <c r="C101" s="12" t="n">
        <v>1116</v>
      </c>
      <c r="D101" s="4" t="str">
        <f aca="false" t="array" ref="D101:D101">INDEX(Productos!$A:B,MATCH($C101,Productos!$A:$A),2)</f>
        <v>Nori entero cortado para roll</v>
      </c>
      <c r="E101" s="12" t="n">
        <v>1</v>
      </c>
      <c r="F101" s="12" t="s">
        <v>28</v>
      </c>
      <c r="G101" s="13" t="n">
        <f aca="false">IFERROR(__xludf.dummyfunction("filter(Productos!K:K,A101=Productos!A:A)"),1)</f>
        <v>1</v>
      </c>
      <c r="H101" s="4" t="n">
        <f aca="false">G101*E101</f>
        <v>1</v>
      </c>
      <c r="I101" s="4" t="str">
        <f aca="false">F101</f>
        <v>Unid</v>
      </c>
      <c r="J101" s="14" t="n">
        <f aca="false">IFERROR(__xludf.dummyfunction("roundup(H101/filter(Productos!I:I,Productos!A:A=C101),1)"),1)</f>
        <v>1</v>
      </c>
      <c r="K101" s="13"/>
      <c r="L101" s="4"/>
      <c r="M101" s="4"/>
      <c r="N101" s="13"/>
      <c r="O101" s="13"/>
      <c r="P101" s="13"/>
      <c r="Q101" s="13"/>
      <c r="R101" s="13"/>
      <c r="S101" s="13"/>
      <c r="T101" s="13"/>
      <c r="U101" s="13"/>
      <c r="V101" s="13"/>
      <c r="W101" s="13"/>
      <c r="X101" s="13"/>
      <c r="Y101" s="13"/>
      <c r="Z101" s="13"/>
      <c r="AA101" s="13"/>
    </row>
    <row r="102" customFormat="false" ht="13" hidden="false" customHeight="false" outlineLevel="0" collapsed="false">
      <c r="A102" s="13" t="n">
        <v>10015</v>
      </c>
      <c r="B102" s="4" t="str">
        <f aca="false" t="array" ref="B102:B102">INDEX(Productos!$A:B,MATCH($A102,Productos!$A:$A),COLUMN(B102))</f>
        <v>Delicia</v>
      </c>
      <c r="C102" s="12" t="n">
        <v>1201</v>
      </c>
      <c r="D102" s="4" t="str">
        <f aca="false" t="array" ref="D102:D102">INDEX(Productos!$A:B,MATCH($C102,Productos!$A:$A),2)</f>
        <v>Arroz cocido para roll</v>
      </c>
      <c r="E102" s="12" t="n">
        <v>1</v>
      </c>
      <c r="F102" s="12" t="s">
        <v>28</v>
      </c>
      <c r="G102" s="13" t="n">
        <f aca="false">IFERROR(__xludf.dummyfunction("filter(Productos!K:K,A102=Productos!A:A)"),1)</f>
        <v>1</v>
      </c>
      <c r="H102" s="4" t="n">
        <f aca="false">G102*E102</f>
        <v>1</v>
      </c>
      <c r="I102" s="4" t="str">
        <f aca="false">F102</f>
        <v>Unid</v>
      </c>
      <c r="J102" s="14" t="n">
        <f aca="false">IFERROR(__xludf.dummyfunction("roundup(H102/filter(Productos!I:I,Productos!A:A=C102),1)"),1)</f>
        <v>1</v>
      </c>
      <c r="K102" s="13"/>
      <c r="L102" s="13"/>
      <c r="M102" s="4"/>
      <c r="N102" s="13"/>
      <c r="O102" s="13"/>
      <c r="P102" s="13"/>
      <c r="Q102" s="13"/>
      <c r="R102" s="13"/>
      <c r="S102" s="13"/>
      <c r="T102" s="13"/>
      <c r="U102" s="13"/>
      <c r="V102" s="13"/>
      <c r="W102" s="13"/>
      <c r="X102" s="13"/>
      <c r="Y102" s="13"/>
      <c r="Z102" s="13"/>
      <c r="AA102" s="13"/>
    </row>
    <row r="103" customFormat="false" ht="13" hidden="false" customHeight="false" outlineLevel="0" collapsed="false">
      <c r="A103" s="13" t="n">
        <v>10015</v>
      </c>
      <c r="B103" s="4" t="str">
        <f aca="false" t="array" ref="B103:B103">INDEX(Productos!$A:B,MATCH($A103,Productos!$A:$A),COLUMN(B103))</f>
        <v>Delicia</v>
      </c>
      <c r="C103" s="12" t="n">
        <v>1109</v>
      </c>
      <c r="D103" s="4" t="str">
        <f aca="false" t="array" ref="D103:D103">INDEX(Productos!$A:B,MATCH($C103,Productos!$A:$A),2)</f>
        <v>Atún cortado para roll</v>
      </c>
      <c r="E103" s="12" t="n">
        <v>1</v>
      </c>
      <c r="F103" s="12" t="s">
        <v>28</v>
      </c>
      <c r="G103" s="13" t="n">
        <f aca="false">IFERROR(__xludf.dummyfunction("filter(Productos!K:K,A103=Productos!A:A)"),1)</f>
        <v>1</v>
      </c>
      <c r="H103" s="4" t="n">
        <f aca="false">G103*E103</f>
        <v>1</v>
      </c>
      <c r="I103" s="4" t="str">
        <f aca="false">F103</f>
        <v>Unid</v>
      </c>
      <c r="J103" s="14" t="n">
        <f aca="false">IFERROR(__xludf.dummyfunction("roundup(H103/filter(Productos!I:I,Productos!A:A=C103),1)"),1)</f>
        <v>1</v>
      </c>
      <c r="K103" s="13"/>
      <c r="L103" s="13"/>
      <c r="M103" s="4"/>
      <c r="N103" s="13"/>
      <c r="O103" s="13"/>
      <c r="P103" s="13"/>
      <c r="Q103" s="13"/>
      <c r="R103" s="13"/>
      <c r="S103" s="13"/>
      <c r="T103" s="13"/>
      <c r="U103" s="13"/>
      <c r="V103" s="13"/>
      <c r="W103" s="13"/>
      <c r="X103" s="13"/>
      <c r="Y103" s="13"/>
      <c r="Z103" s="13"/>
      <c r="AA103" s="13"/>
    </row>
    <row r="104" customFormat="false" ht="13" hidden="false" customHeight="false" outlineLevel="0" collapsed="false">
      <c r="A104" s="13" t="n">
        <v>10015</v>
      </c>
      <c r="B104" s="4" t="str">
        <f aca="false" t="array" ref="B104:B104">INDEX(Productos!$A:B,MATCH($A104,Productos!$A:$A),COLUMN(B104))</f>
        <v>Delicia</v>
      </c>
      <c r="C104" s="12" t="n">
        <v>1115</v>
      </c>
      <c r="D104" s="4" t="str">
        <f aca="false" t="array" ref="D104:D104">INDEX(Productos!$A:B,MATCH($C104,Productos!$A:$A),2)</f>
        <v>Ciboulette picado para roll</v>
      </c>
      <c r="E104" s="12" t="n">
        <v>1</v>
      </c>
      <c r="F104" s="12" t="s">
        <v>28</v>
      </c>
      <c r="G104" s="13" t="n">
        <f aca="false">IFERROR(__xludf.dummyfunction("filter(Productos!K:K,A104=Productos!A:A)"),1)</f>
        <v>1</v>
      </c>
      <c r="H104" s="4" t="n">
        <f aca="false">G104*E104</f>
        <v>1</v>
      </c>
      <c r="I104" s="4" t="str">
        <f aca="false">F104</f>
        <v>Unid</v>
      </c>
      <c r="J104" s="14" t="n">
        <f aca="false">IFERROR(__xludf.dummyfunction("roundup(H104/filter(Productos!I:I,Productos!A:A=C104),1)"),1)</f>
        <v>1</v>
      </c>
      <c r="K104" s="13"/>
      <c r="L104" s="13"/>
      <c r="M104" s="4"/>
      <c r="N104" s="13"/>
      <c r="O104" s="13"/>
      <c r="P104" s="13"/>
      <c r="Q104" s="13"/>
      <c r="R104" s="13"/>
      <c r="S104" s="13"/>
      <c r="T104" s="13"/>
      <c r="U104" s="13"/>
      <c r="V104" s="13"/>
      <c r="W104" s="13"/>
      <c r="X104" s="13"/>
      <c r="Y104" s="13"/>
      <c r="Z104" s="13"/>
      <c r="AA104" s="13"/>
    </row>
    <row r="105" customFormat="false" ht="13" hidden="false" customHeight="false" outlineLevel="0" collapsed="false">
      <c r="A105" s="13" t="n">
        <v>10015</v>
      </c>
      <c r="B105" s="4" t="str">
        <f aca="false" t="array" ref="B105:B105">INDEX(Productos!$A:B,MATCH($A105,Productos!$A:$A),COLUMN(B105))</f>
        <v>Delicia</v>
      </c>
      <c r="C105" s="12" t="n">
        <v>1110</v>
      </c>
      <c r="D105" s="4" t="str">
        <f aca="false" t="array" ref="D105:D105">INDEX(Productos!$A:B,MATCH($C105,Productos!$A:$A),2)</f>
        <v>Palta cortada para envoltura</v>
      </c>
      <c r="E105" s="12" t="n">
        <v>1</v>
      </c>
      <c r="F105" s="12" t="s">
        <v>28</v>
      </c>
      <c r="G105" s="13" t="n">
        <f aca="false">IFERROR(__xludf.dummyfunction("filter(Productos!K:K,A105=Productos!A:A)"),1)</f>
        <v>1</v>
      </c>
      <c r="H105" s="4" t="n">
        <f aca="false">G105*E105</f>
        <v>1</v>
      </c>
      <c r="I105" s="4" t="str">
        <f aca="false">F105</f>
        <v>Unid</v>
      </c>
      <c r="J105" s="14" t="n">
        <f aca="false">IFERROR(__xludf.dummyfunction("roundup(H105/filter(Productos!I:I,Productos!A:A=C105),1)"),1)</f>
        <v>1</v>
      </c>
      <c r="K105" s="13"/>
      <c r="L105" s="13"/>
      <c r="M105" s="4"/>
      <c r="N105" s="13"/>
      <c r="O105" s="13"/>
      <c r="P105" s="13"/>
      <c r="Q105" s="13"/>
      <c r="R105" s="13"/>
      <c r="S105" s="13"/>
      <c r="T105" s="13"/>
      <c r="U105" s="13"/>
      <c r="V105" s="13"/>
      <c r="W105" s="13"/>
      <c r="X105" s="13"/>
      <c r="Y105" s="13"/>
      <c r="Z105" s="13"/>
      <c r="AA105" s="13"/>
    </row>
    <row r="106" customFormat="false" ht="13" hidden="false" customHeight="false" outlineLevel="0" collapsed="false">
      <c r="A106" s="13" t="n">
        <v>10015</v>
      </c>
      <c r="B106" s="4" t="str">
        <f aca="false" t="array" ref="B106:B106">INDEX(Productos!$A:B,MATCH($A106,Productos!$A:$A),COLUMN(B106))</f>
        <v>Delicia</v>
      </c>
      <c r="C106" s="12" t="n">
        <v>1112</v>
      </c>
      <c r="D106" s="4" t="str">
        <f aca="false" t="array" ref="D106:D106">INDEX(Productos!$A:B,MATCH($C106,Productos!$A:$A),2)</f>
        <v>Queso crema para roll</v>
      </c>
      <c r="E106" s="12" t="n">
        <v>1</v>
      </c>
      <c r="F106" s="12" t="s">
        <v>28</v>
      </c>
      <c r="G106" s="13" t="n">
        <f aca="false">IFERROR(__xludf.dummyfunction("filter(Productos!K:K,A106=Productos!A:A)"),1)</f>
        <v>1</v>
      </c>
      <c r="H106" s="4" t="n">
        <f aca="false">G106*E106</f>
        <v>1</v>
      </c>
      <c r="I106" s="4" t="str">
        <f aca="false">F106</f>
        <v>Unid</v>
      </c>
      <c r="J106" s="14" t="n">
        <f aca="false">IFERROR(__xludf.dummyfunction("roundup(H106/filter(Productos!I:I,Productos!A:A=C106),1)"),1)</f>
        <v>1</v>
      </c>
      <c r="K106" s="13"/>
      <c r="L106" s="13"/>
      <c r="M106" s="4"/>
      <c r="N106" s="13"/>
      <c r="O106" s="13"/>
      <c r="P106" s="13"/>
      <c r="Q106" s="13"/>
      <c r="R106" s="13"/>
      <c r="S106" s="13"/>
      <c r="T106" s="13"/>
      <c r="U106" s="13"/>
      <c r="V106" s="13"/>
      <c r="W106" s="13"/>
      <c r="X106" s="13"/>
      <c r="Y106" s="13"/>
      <c r="Z106" s="13"/>
      <c r="AA106" s="13"/>
    </row>
    <row r="107" customFormat="false" ht="13" hidden="false" customHeight="false" outlineLevel="0" collapsed="false">
      <c r="A107" s="4" t="n">
        <v>10015</v>
      </c>
      <c r="B107" s="4" t="str">
        <f aca="false" t="array" ref="B107:B107">INDEX(Productos!$A:B,MATCH($A107,Productos!$A:$A),COLUMN(B107))</f>
        <v>Delicia</v>
      </c>
      <c r="C107" s="12" t="n">
        <v>1116</v>
      </c>
      <c r="D107" s="4" t="str">
        <f aca="false" t="array" ref="D107:D107">INDEX(Productos!$A:B,MATCH($C107,Productos!$A:$A),2)</f>
        <v>Nori entero cortado para roll</v>
      </c>
      <c r="E107" s="12" t="n">
        <v>1</v>
      </c>
      <c r="F107" s="12" t="s">
        <v>28</v>
      </c>
      <c r="G107" s="13" t="n">
        <f aca="false">IFERROR(__xludf.dummyfunction("filter(Productos!K:K,A107=Productos!A:A)"),1)</f>
        <v>1</v>
      </c>
      <c r="H107" s="4" t="n">
        <f aca="false">G107*E107</f>
        <v>1</v>
      </c>
      <c r="I107" s="4" t="str">
        <f aca="false">F107</f>
        <v>Unid</v>
      </c>
      <c r="J107" s="14" t="n">
        <f aca="false">IFERROR(__xludf.dummyfunction("roundup(H107/filter(Productos!I:I,Productos!A:A=C107),1)"),1)</f>
        <v>1</v>
      </c>
      <c r="K107" s="13"/>
      <c r="L107" s="4"/>
      <c r="M107" s="4"/>
      <c r="N107" s="13"/>
      <c r="O107" s="13"/>
      <c r="P107" s="13"/>
      <c r="Q107" s="13"/>
      <c r="R107" s="13"/>
      <c r="S107" s="13"/>
      <c r="T107" s="13"/>
      <c r="U107" s="13"/>
      <c r="V107" s="13"/>
      <c r="W107" s="13"/>
      <c r="X107" s="13"/>
      <c r="Y107" s="13"/>
      <c r="Z107" s="13"/>
      <c r="AA107" s="13"/>
    </row>
    <row r="108" customFormat="false" ht="13" hidden="false" customHeight="false" outlineLevel="0" collapsed="false">
      <c r="A108" s="13" t="n">
        <v>10016</v>
      </c>
      <c r="B108" s="4" t="str">
        <f aca="false" t="array" ref="B108:B108">INDEX(Productos!$A:B,MATCH($A108,Productos!$A:$A),COLUMN(B108))</f>
        <v>Beto</v>
      </c>
      <c r="C108" s="12" t="n">
        <v>1201</v>
      </c>
      <c r="D108" s="4" t="str">
        <f aca="false" t="array" ref="D108:D108">INDEX(Productos!$A:B,MATCH($C108,Productos!$A:$A),2)</f>
        <v>Arroz cocido para roll</v>
      </c>
      <c r="E108" s="12" t="n">
        <v>1</v>
      </c>
      <c r="F108" s="12" t="s">
        <v>28</v>
      </c>
      <c r="G108" s="13" t="n">
        <f aca="false">IFERROR(__xludf.dummyfunction("filter(Productos!K:K,A108=Productos!A:A)"),1)</f>
        <v>1</v>
      </c>
      <c r="H108" s="4" t="n">
        <f aca="false">G108*E108</f>
        <v>1</v>
      </c>
      <c r="I108" s="4" t="str">
        <f aca="false">F108</f>
        <v>Unid</v>
      </c>
      <c r="J108" s="14" t="n">
        <f aca="false">IFERROR(__xludf.dummyfunction("roundup(H108/filter(Productos!I:I,Productos!A:A=C108),1)"),1)</f>
        <v>1</v>
      </c>
      <c r="K108" s="13"/>
      <c r="L108" s="13"/>
      <c r="M108" s="4"/>
      <c r="N108" s="13"/>
      <c r="O108" s="13"/>
      <c r="P108" s="13"/>
      <c r="Q108" s="13"/>
      <c r="R108" s="13"/>
      <c r="S108" s="13"/>
      <c r="T108" s="13"/>
      <c r="U108" s="13"/>
      <c r="V108" s="13"/>
      <c r="W108" s="13"/>
      <c r="X108" s="13"/>
      <c r="Y108" s="13"/>
      <c r="Z108" s="13"/>
      <c r="AA108" s="13"/>
    </row>
    <row r="109" customFormat="false" ht="13" hidden="false" customHeight="false" outlineLevel="0" collapsed="false">
      <c r="A109" s="13" t="n">
        <v>10016</v>
      </c>
      <c r="B109" s="4" t="str">
        <f aca="false" t="array" ref="B109:B109">INDEX(Productos!$A:B,MATCH($A109,Productos!$A:$A),COLUMN(B109))</f>
        <v>Beto</v>
      </c>
      <c r="C109" s="12" t="n">
        <v>1106</v>
      </c>
      <c r="D109" s="4" t="str">
        <f aca="false" t="array" ref="D109:D109">INDEX(Productos!$A:B,MATCH($C109,Productos!$A:$A),2)</f>
        <v>Camarón cocido</v>
      </c>
      <c r="E109" s="12" t="n">
        <v>4</v>
      </c>
      <c r="F109" s="16" t="s">
        <v>28</v>
      </c>
      <c r="G109" s="13" t="n">
        <f aca="false">IFERROR(__xludf.dummyfunction("filter(Productos!K:K,A109=Productos!A:A)"),1)</f>
        <v>1</v>
      </c>
      <c r="H109" s="4" t="n">
        <f aca="false">G109*E109</f>
        <v>4</v>
      </c>
      <c r="I109" s="4" t="str">
        <f aca="false">F109</f>
        <v>Unid</v>
      </c>
      <c r="J109" s="14" t="n">
        <f aca="false">IFERROR(__xludf.dummyfunction("roundup(H109/filter(Productos!I:I,Productos!A:A=C109),1)"),4)</f>
        <v>4</v>
      </c>
      <c r="K109" s="13"/>
      <c r="L109" s="13"/>
      <c r="M109" s="4"/>
      <c r="N109" s="13"/>
      <c r="O109" s="13"/>
      <c r="P109" s="13"/>
      <c r="Q109" s="13"/>
      <c r="R109" s="13"/>
      <c r="S109" s="13"/>
      <c r="T109" s="13"/>
      <c r="U109" s="13"/>
      <c r="V109" s="13"/>
      <c r="W109" s="13"/>
      <c r="X109" s="13"/>
      <c r="Y109" s="13"/>
      <c r="Z109" s="13"/>
      <c r="AA109" s="13"/>
    </row>
    <row r="110" customFormat="false" ht="13" hidden="false" customHeight="false" outlineLevel="0" collapsed="false">
      <c r="A110" s="13" t="n">
        <v>10016</v>
      </c>
      <c r="B110" s="4" t="str">
        <f aca="false" t="array" ref="B110:B110">INDEX(Productos!$A:B,MATCH($A110,Productos!$A:$A),COLUMN(B110))</f>
        <v>Beto</v>
      </c>
      <c r="C110" s="12" t="n">
        <v>1110</v>
      </c>
      <c r="D110" s="4" t="str">
        <f aca="false" t="array" ref="D110:D110">INDEX(Productos!$A:B,MATCH($C110,Productos!$A:$A),2)</f>
        <v>Palta cortada para envoltura</v>
      </c>
      <c r="E110" s="12" t="n">
        <v>1</v>
      </c>
      <c r="F110" s="12" t="s">
        <v>28</v>
      </c>
      <c r="G110" s="13" t="n">
        <f aca="false">IFERROR(__xludf.dummyfunction("filter(Productos!K:K,A110=Productos!A:A)"),1)</f>
        <v>1</v>
      </c>
      <c r="H110" s="4" t="n">
        <f aca="false">G110*E110</f>
        <v>1</v>
      </c>
      <c r="I110" s="4" t="str">
        <f aca="false">F110</f>
        <v>Unid</v>
      </c>
      <c r="J110" s="14" t="n">
        <f aca="false">IFERROR(__xludf.dummyfunction("roundup(H110/filter(Productos!I:I,Productos!A:A=C110),1)"),1)</f>
        <v>1</v>
      </c>
      <c r="K110" s="13"/>
      <c r="L110" s="13"/>
      <c r="M110" s="4"/>
      <c r="N110" s="13"/>
      <c r="O110" s="13"/>
      <c r="P110" s="13"/>
      <c r="Q110" s="13"/>
      <c r="R110" s="13"/>
      <c r="S110" s="13"/>
      <c r="T110" s="13"/>
      <c r="U110" s="13"/>
      <c r="V110" s="13"/>
      <c r="W110" s="13"/>
      <c r="X110" s="13"/>
      <c r="Y110" s="13"/>
      <c r="Z110" s="13"/>
      <c r="AA110" s="13"/>
    </row>
    <row r="111" customFormat="false" ht="13" hidden="false" customHeight="false" outlineLevel="0" collapsed="false">
      <c r="A111" s="13" t="n">
        <v>10016</v>
      </c>
      <c r="B111" s="4" t="str">
        <f aca="false" t="array" ref="B111:B111">INDEX(Productos!$A:B,MATCH($A111,Productos!$A:$A),COLUMN(B111))</f>
        <v>Beto</v>
      </c>
      <c r="C111" s="12" t="n">
        <v>1112</v>
      </c>
      <c r="D111" s="4" t="str">
        <f aca="false" t="array" ref="D111:D111">INDEX(Productos!$A:B,MATCH($C111,Productos!$A:$A),2)</f>
        <v>Queso crema para roll</v>
      </c>
      <c r="E111" s="12" t="n">
        <v>1</v>
      </c>
      <c r="F111" s="12" t="s">
        <v>28</v>
      </c>
      <c r="G111" s="13" t="n">
        <f aca="false">IFERROR(__xludf.dummyfunction("filter(Productos!K:K,A111=Productos!A:A)"),1)</f>
        <v>1</v>
      </c>
      <c r="H111" s="4" t="n">
        <f aca="false">G111*E111</f>
        <v>1</v>
      </c>
      <c r="I111" s="4" t="str">
        <f aca="false">F111</f>
        <v>Unid</v>
      </c>
      <c r="J111" s="14" t="n">
        <f aca="false">IFERROR(__xludf.dummyfunction("roundup(H111/filter(Productos!I:I,Productos!A:A=C111),1)"),1)</f>
        <v>1</v>
      </c>
      <c r="K111" s="13"/>
      <c r="L111" s="13"/>
      <c r="M111" s="4"/>
      <c r="N111" s="13"/>
      <c r="O111" s="13"/>
      <c r="P111" s="13"/>
      <c r="Q111" s="13"/>
      <c r="R111" s="13"/>
      <c r="S111" s="13"/>
      <c r="T111" s="13"/>
      <c r="U111" s="13"/>
      <c r="V111" s="13"/>
      <c r="W111" s="13"/>
      <c r="X111" s="13"/>
      <c r="Y111" s="13"/>
      <c r="Z111" s="13"/>
      <c r="AA111" s="13"/>
    </row>
    <row r="112" customFormat="false" ht="13" hidden="false" customHeight="false" outlineLevel="0" collapsed="false">
      <c r="A112" s="13" t="n">
        <v>10016</v>
      </c>
      <c r="B112" s="4" t="str">
        <f aca="false" t="array" ref="B112:B112">INDEX(Productos!$A:B,MATCH($A112,Productos!$A:$A),COLUMN(B112))</f>
        <v>Beto</v>
      </c>
      <c r="C112" s="12" t="n">
        <v>1107</v>
      </c>
      <c r="D112" s="4" t="str">
        <f aca="false" t="array" ref="D112:D112">INDEX(Productos!$A:B,MATCH($C112,Productos!$A:$A),2)</f>
        <v>Salmón cortado para roll</v>
      </c>
      <c r="E112" s="12" t="n">
        <v>1</v>
      </c>
      <c r="F112" s="12" t="s">
        <v>28</v>
      </c>
      <c r="G112" s="13" t="n">
        <f aca="false">IFERROR(__xludf.dummyfunction("filter(Productos!K:K,A112=Productos!A:A)"),1)</f>
        <v>1</v>
      </c>
      <c r="H112" s="4" t="n">
        <f aca="false">G112*E112</f>
        <v>1</v>
      </c>
      <c r="I112" s="4" t="str">
        <f aca="false">F112</f>
        <v>Unid</v>
      </c>
      <c r="J112" s="14" t="n">
        <f aca="false">IFERROR(__xludf.dummyfunction("roundup(H112/filter(Productos!I:I,Productos!A:A=C112),1)"),1)</f>
        <v>1</v>
      </c>
      <c r="K112" s="13"/>
      <c r="L112" s="13"/>
      <c r="M112" s="4"/>
      <c r="N112" s="13"/>
      <c r="O112" s="13"/>
      <c r="P112" s="13"/>
      <c r="Q112" s="13"/>
      <c r="R112" s="13"/>
      <c r="S112" s="13"/>
      <c r="T112" s="13"/>
      <c r="U112" s="13"/>
      <c r="V112" s="13"/>
      <c r="W112" s="13"/>
      <c r="X112" s="13"/>
      <c r="Y112" s="13"/>
      <c r="Z112" s="13"/>
      <c r="AA112" s="13"/>
    </row>
    <row r="113" customFormat="false" ht="13" hidden="false" customHeight="false" outlineLevel="0" collapsed="false">
      <c r="A113" s="4" t="n">
        <v>10016</v>
      </c>
      <c r="B113" s="4" t="str">
        <f aca="false" t="array" ref="B113:B113">INDEX(Productos!$A:B,MATCH($A113,Productos!$A:$A),COLUMN(B113))</f>
        <v>Beto</v>
      </c>
      <c r="C113" s="12" t="n">
        <v>1116</v>
      </c>
      <c r="D113" s="4" t="str">
        <f aca="false" t="array" ref="D113:D113">INDEX(Productos!$A:B,MATCH($C113,Productos!$A:$A),2)</f>
        <v>Nori entero cortado para roll</v>
      </c>
      <c r="E113" s="12" t="n">
        <v>1</v>
      </c>
      <c r="F113" s="12" t="s">
        <v>28</v>
      </c>
      <c r="G113" s="13" t="n">
        <f aca="false">IFERROR(__xludf.dummyfunction("filter(Productos!K:K,A113=Productos!A:A)"),1)</f>
        <v>1</v>
      </c>
      <c r="H113" s="4" t="n">
        <f aca="false">G113*E113</f>
        <v>1</v>
      </c>
      <c r="I113" s="4" t="str">
        <f aca="false">F113</f>
        <v>Unid</v>
      </c>
      <c r="J113" s="14" t="n">
        <f aca="false">IFERROR(__xludf.dummyfunction("roundup(H113/filter(Productos!I:I,Productos!A:A=C113),1)"),1)</f>
        <v>1</v>
      </c>
      <c r="K113" s="13"/>
      <c r="L113" s="4"/>
      <c r="M113" s="4"/>
      <c r="N113" s="13"/>
      <c r="O113" s="13"/>
      <c r="P113" s="13"/>
      <c r="Q113" s="13"/>
      <c r="R113" s="13"/>
      <c r="S113" s="13"/>
      <c r="T113" s="13"/>
      <c r="U113" s="13"/>
      <c r="V113" s="13"/>
      <c r="W113" s="13"/>
      <c r="X113" s="13"/>
      <c r="Y113" s="13"/>
      <c r="Z113" s="13"/>
      <c r="AA113" s="13"/>
    </row>
    <row r="114" customFormat="false" ht="13" hidden="false" customHeight="false" outlineLevel="0" collapsed="false">
      <c r="A114" s="13" t="n">
        <v>10017</v>
      </c>
      <c r="B114" s="4" t="str">
        <f aca="false" t="array" ref="B114:B114">INDEX(Productos!$A:B,MATCH($A114,Productos!$A:$A),COLUMN(B114))</f>
        <v>Avocado</v>
      </c>
      <c r="C114" s="12" t="n">
        <v>1201</v>
      </c>
      <c r="D114" s="4" t="str">
        <f aca="false" t="array" ref="D114:D114">INDEX(Productos!$A:B,MATCH($C114,Productos!$A:$A),2)</f>
        <v>Arroz cocido para roll</v>
      </c>
      <c r="E114" s="12" t="n">
        <v>1</v>
      </c>
      <c r="F114" s="12" t="s">
        <v>28</v>
      </c>
      <c r="G114" s="13" t="n">
        <f aca="false">IFERROR(__xludf.dummyfunction("filter(Productos!K:K,A114=Productos!A:A)"),1)</f>
        <v>1</v>
      </c>
      <c r="H114" s="4" t="n">
        <f aca="false">G114*E114</f>
        <v>1</v>
      </c>
      <c r="I114" s="4" t="str">
        <f aca="false">F114</f>
        <v>Unid</v>
      </c>
      <c r="J114" s="14" t="n">
        <f aca="false">IFERROR(__xludf.dummyfunction("roundup(H114/filter(Productos!I:I,Productos!A:A=C114),1)"),1)</f>
        <v>1</v>
      </c>
      <c r="K114" s="13"/>
      <c r="L114" s="13"/>
      <c r="M114" s="4"/>
      <c r="N114" s="13"/>
      <c r="O114" s="13"/>
      <c r="P114" s="13"/>
      <c r="Q114" s="13"/>
      <c r="R114" s="13"/>
      <c r="S114" s="13"/>
      <c r="T114" s="13"/>
      <c r="U114" s="13"/>
      <c r="V114" s="13"/>
      <c r="W114" s="13"/>
      <c r="X114" s="13"/>
      <c r="Y114" s="13"/>
      <c r="Z114" s="13"/>
      <c r="AA114" s="13"/>
    </row>
    <row r="115" customFormat="false" ht="13" hidden="false" customHeight="false" outlineLevel="0" collapsed="false">
      <c r="A115" s="13" t="n">
        <v>10017</v>
      </c>
      <c r="B115" s="4" t="str">
        <f aca="false" t="array" ref="B115:B115">INDEX(Productos!$A:B,MATCH($A115,Productos!$A:$A),COLUMN(B115))</f>
        <v>Avocado</v>
      </c>
      <c r="C115" s="12" t="n">
        <v>1110</v>
      </c>
      <c r="D115" s="4" t="str">
        <f aca="false" t="array" ref="D115:D115">INDEX(Productos!$A:B,MATCH($C115,Productos!$A:$A),2)</f>
        <v>Palta cortada para envoltura</v>
      </c>
      <c r="E115" s="12" t="n">
        <v>1</v>
      </c>
      <c r="F115" s="12" t="s">
        <v>28</v>
      </c>
      <c r="G115" s="13" t="n">
        <f aca="false">IFERROR(__xludf.dummyfunction("filter(Productos!K:K,A115=Productos!A:A)"),1)</f>
        <v>1</v>
      </c>
      <c r="H115" s="4" t="n">
        <f aca="false">G115*E115</f>
        <v>1</v>
      </c>
      <c r="I115" s="4" t="str">
        <f aca="false">F115</f>
        <v>Unid</v>
      </c>
      <c r="J115" s="14" t="n">
        <f aca="false">IFERROR(__xludf.dummyfunction("roundup(H115/filter(Productos!I:I,Productos!A:A=C115),1)"),1)</f>
        <v>1</v>
      </c>
      <c r="K115" s="13"/>
      <c r="L115" s="13"/>
      <c r="M115" s="4"/>
      <c r="N115" s="13"/>
      <c r="O115" s="13"/>
      <c r="P115" s="13"/>
      <c r="Q115" s="13"/>
      <c r="R115" s="13"/>
      <c r="S115" s="13"/>
      <c r="T115" s="13"/>
      <c r="U115" s="13"/>
      <c r="V115" s="13"/>
      <c r="W115" s="13"/>
      <c r="X115" s="13"/>
      <c r="Y115" s="13"/>
      <c r="Z115" s="13"/>
      <c r="AA115" s="13"/>
    </row>
    <row r="116" customFormat="false" ht="13" hidden="false" customHeight="false" outlineLevel="0" collapsed="false">
      <c r="A116" s="13" t="n">
        <v>10017</v>
      </c>
      <c r="B116" s="4" t="str">
        <f aca="false" t="array" ref="B116:B116">INDEX(Productos!$A:B,MATCH($A116,Productos!$A:$A),COLUMN(B116))</f>
        <v>Avocado</v>
      </c>
      <c r="C116" s="12" t="n">
        <v>1112</v>
      </c>
      <c r="D116" s="4" t="str">
        <f aca="false" t="array" ref="D116:D116">INDEX(Productos!$A:B,MATCH($C116,Productos!$A:$A),2)</f>
        <v>Queso crema para roll</v>
      </c>
      <c r="E116" s="12" t="n">
        <v>1</v>
      </c>
      <c r="F116" s="12" t="s">
        <v>28</v>
      </c>
      <c r="G116" s="13" t="n">
        <f aca="false">IFERROR(__xludf.dummyfunction("filter(Productos!K:K,A116=Productos!A:A)"),1)</f>
        <v>1</v>
      </c>
      <c r="H116" s="4" t="n">
        <f aca="false">G116*E116</f>
        <v>1</v>
      </c>
      <c r="I116" s="4" t="str">
        <f aca="false">F116</f>
        <v>Unid</v>
      </c>
      <c r="J116" s="14" t="n">
        <f aca="false">IFERROR(__xludf.dummyfunction("roundup(H116/filter(Productos!I:I,Productos!A:A=C116),1)"),1)</f>
        <v>1</v>
      </c>
      <c r="K116" s="13"/>
      <c r="L116" s="13"/>
      <c r="M116" s="4"/>
      <c r="N116" s="13"/>
      <c r="O116" s="13"/>
      <c r="P116" s="13"/>
      <c r="Q116" s="13"/>
      <c r="R116" s="13"/>
      <c r="S116" s="13"/>
      <c r="T116" s="13"/>
      <c r="U116" s="13"/>
      <c r="V116" s="13"/>
      <c r="W116" s="13"/>
      <c r="X116" s="13"/>
      <c r="Y116" s="13"/>
      <c r="Z116" s="13"/>
      <c r="AA116" s="13"/>
    </row>
    <row r="117" customFormat="false" ht="13" hidden="false" customHeight="false" outlineLevel="0" collapsed="false">
      <c r="A117" s="13" t="n">
        <v>10017</v>
      </c>
      <c r="B117" s="4" t="str">
        <f aca="false" t="array" ref="B117:B117">INDEX(Productos!$A:B,MATCH($A117,Productos!$A:$A),COLUMN(B117))</f>
        <v>Avocado</v>
      </c>
      <c r="C117" s="12" t="n">
        <v>1107</v>
      </c>
      <c r="D117" s="4" t="str">
        <f aca="false" t="array" ref="D117:D117">INDEX(Productos!$A:B,MATCH($C117,Productos!$A:$A),2)</f>
        <v>Salmón cortado para roll</v>
      </c>
      <c r="E117" s="12" t="n">
        <v>1</v>
      </c>
      <c r="F117" s="12" t="s">
        <v>28</v>
      </c>
      <c r="G117" s="13" t="n">
        <f aca="false">IFERROR(__xludf.dummyfunction("filter(Productos!K:K,A117=Productos!A:A)"),1)</f>
        <v>1</v>
      </c>
      <c r="H117" s="4" t="n">
        <f aca="false">G117*E117</f>
        <v>1</v>
      </c>
      <c r="I117" s="4" t="str">
        <f aca="false">F117</f>
        <v>Unid</v>
      </c>
      <c r="J117" s="14" t="n">
        <f aca="false">IFERROR(__xludf.dummyfunction("roundup(H117/filter(Productos!I:I,Productos!A:A=C117),1)"),1)</f>
        <v>1</v>
      </c>
      <c r="K117" s="13"/>
      <c r="L117" s="13"/>
      <c r="M117" s="4"/>
      <c r="N117" s="13"/>
      <c r="O117" s="13"/>
      <c r="P117" s="13"/>
      <c r="Q117" s="13"/>
      <c r="R117" s="13"/>
      <c r="S117" s="13"/>
      <c r="T117" s="13"/>
      <c r="U117" s="13"/>
      <c r="V117" s="13"/>
      <c r="W117" s="13"/>
      <c r="X117" s="13"/>
      <c r="Y117" s="13"/>
      <c r="Z117" s="13"/>
      <c r="AA117" s="13"/>
    </row>
    <row r="118" customFormat="false" ht="13" hidden="false" customHeight="false" outlineLevel="0" collapsed="false">
      <c r="A118" s="4" t="n">
        <v>10017</v>
      </c>
      <c r="B118" s="4" t="str">
        <f aca="false" t="array" ref="B118:B118">INDEX(Productos!$A:B,MATCH($A118,Productos!$A:$A),COLUMN(B118))</f>
        <v>Avocado</v>
      </c>
      <c r="C118" s="12" t="n">
        <v>1116</v>
      </c>
      <c r="D118" s="4" t="str">
        <f aca="false" t="array" ref="D118:D118">INDEX(Productos!$A:B,MATCH($C118,Productos!$A:$A),2)</f>
        <v>Nori entero cortado para roll</v>
      </c>
      <c r="E118" s="12" t="n">
        <v>1</v>
      </c>
      <c r="F118" s="12" t="s">
        <v>28</v>
      </c>
      <c r="G118" s="13" t="n">
        <f aca="false">IFERROR(__xludf.dummyfunction("filter(Productos!K:K,A118=Productos!A:A)"),1)</f>
        <v>1</v>
      </c>
      <c r="H118" s="4" t="n">
        <f aca="false">G118*E118</f>
        <v>1</v>
      </c>
      <c r="I118" s="4" t="str">
        <f aca="false">F118</f>
        <v>Unid</v>
      </c>
      <c r="J118" s="14" t="n">
        <f aca="false">IFERROR(__xludf.dummyfunction("roundup(H118/filter(Productos!I:I,Productos!A:A=C118),1)"),1)</f>
        <v>1</v>
      </c>
      <c r="K118" s="13"/>
      <c r="L118" s="4"/>
      <c r="M118" s="4"/>
      <c r="N118" s="13"/>
      <c r="O118" s="13"/>
      <c r="P118" s="13"/>
      <c r="Q118" s="13"/>
      <c r="R118" s="13"/>
      <c r="S118" s="13"/>
      <c r="T118" s="13"/>
      <c r="U118" s="13"/>
      <c r="V118" s="13"/>
      <c r="W118" s="13"/>
      <c r="X118" s="13"/>
      <c r="Y118" s="13"/>
      <c r="Z118" s="13"/>
      <c r="AA118" s="13"/>
    </row>
    <row r="119" customFormat="false" ht="13" hidden="false" customHeight="false" outlineLevel="0" collapsed="false">
      <c r="A119" s="4" t="n">
        <v>10018</v>
      </c>
      <c r="B119" s="4" t="str">
        <f aca="false" t="array" ref="B119:B119">INDEX(Productos!$A:B,MATCH($A119,Productos!$A:$A),COLUMN(B119))</f>
        <v>Maki Salmón</v>
      </c>
      <c r="C119" s="12" t="n">
        <v>1201</v>
      </c>
      <c r="D119" s="4" t="str">
        <f aca="false" t="array" ref="D119:D119">INDEX(Productos!$A:B,MATCH($C119,Productos!$A:$A),2)</f>
        <v>Arroz cocido para roll</v>
      </c>
      <c r="E119" s="12" t="n">
        <v>1</v>
      </c>
      <c r="F119" s="12" t="s">
        <v>28</v>
      </c>
      <c r="G119" s="13" t="n">
        <f aca="false">IFERROR(__xludf.dummyfunction("filter(Productos!K:K,A119=Productos!A:A)"),1)</f>
        <v>1</v>
      </c>
      <c r="H119" s="4" t="n">
        <f aca="false">G119*E119</f>
        <v>1</v>
      </c>
      <c r="I119" s="4" t="str">
        <f aca="false">F119</f>
        <v>Unid</v>
      </c>
      <c r="J119" s="14" t="n">
        <f aca="false">IFERROR(__xludf.dummyfunction("roundup(H119/filter(Productos!I:I,Productos!A:A=C119),1)"),1)</f>
        <v>1</v>
      </c>
      <c r="K119" s="13"/>
      <c r="L119" s="4"/>
      <c r="M119" s="4"/>
      <c r="N119" s="13"/>
      <c r="O119" s="13"/>
      <c r="P119" s="13"/>
      <c r="Q119" s="13"/>
      <c r="R119" s="13"/>
      <c r="S119" s="13"/>
      <c r="T119" s="13"/>
      <c r="U119" s="13"/>
      <c r="V119" s="13"/>
      <c r="W119" s="13"/>
      <c r="X119" s="13"/>
      <c r="Y119" s="13"/>
      <c r="Z119" s="13"/>
      <c r="AA119" s="13"/>
    </row>
    <row r="120" customFormat="false" ht="13" hidden="false" customHeight="false" outlineLevel="0" collapsed="false">
      <c r="A120" s="4" t="n">
        <v>10018</v>
      </c>
      <c r="B120" s="4" t="str">
        <f aca="false" t="array" ref="B120:B120">INDEX(Productos!$A:B,MATCH($A120,Productos!$A:$A),COLUMN(B120))</f>
        <v>Maki Salmón</v>
      </c>
      <c r="C120" s="12" t="n">
        <v>1105</v>
      </c>
      <c r="D120" s="4" t="str">
        <f aca="false" t="array" ref="D120:D120">INDEX(Productos!$A:B,MATCH($C120,Productos!$A:$A),2)</f>
        <v>Kanikama para roll</v>
      </c>
      <c r="E120" s="12" t="n">
        <v>1</v>
      </c>
      <c r="F120" s="12" t="s">
        <v>28</v>
      </c>
      <c r="G120" s="13" t="n">
        <f aca="false">IFERROR(__xludf.dummyfunction("filter(Productos!K:K,A120=Productos!A:A)"),1)</f>
        <v>1</v>
      </c>
      <c r="H120" s="4" t="n">
        <f aca="false">G120*E120</f>
        <v>1</v>
      </c>
      <c r="I120" s="4" t="str">
        <f aca="false">F120</f>
        <v>Unid</v>
      </c>
      <c r="J120" s="14" t="n">
        <f aca="false">IFERROR(__xludf.dummyfunction("roundup(H120/filter(Productos!I:I,Productos!A:A=C120),1)"),1)</f>
        <v>1</v>
      </c>
      <c r="K120" s="13"/>
      <c r="L120" s="4"/>
      <c r="M120" s="4"/>
      <c r="N120" s="13"/>
      <c r="O120" s="13"/>
      <c r="P120" s="13"/>
      <c r="Q120" s="13"/>
      <c r="R120" s="13"/>
      <c r="S120" s="13"/>
      <c r="T120" s="13"/>
      <c r="U120" s="13"/>
      <c r="V120" s="13"/>
      <c r="W120" s="13"/>
      <c r="X120" s="13"/>
      <c r="Y120" s="13"/>
      <c r="Z120" s="13"/>
      <c r="AA120" s="13"/>
    </row>
    <row r="121" customFormat="false" ht="13" hidden="false" customHeight="false" outlineLevel="0" collapsed="false">
      <c r="A121" s="4" t="n">
        <v>10018</v>
      </c>
      <c r="B121" s="4" t="str">
        <f aca="false" t="array" ref="B121:B121">INDEX(Productos!$A:B,MATCH($A121,Productos!$A:$A),COLUMN(B121))</f>
        <v>Maki Salmón</v>
      </c>
      <c r="C121" s="12" t="n">
        <v>1112</v>
      </c>
      <c r="D121" s="4" t="str">
        <f aca="false" t="array" ref="D121:D121">INDEX(Productos!$A:B,MATCH($C121,Productos!$A:$A),2)</f>
        <v>Queso crema para roll</v>
      </c>
      <c r="E121" s="12" t="n">
        <v>1</v>
      </c>
      <c r="F121" s="12" t="s">
        <v>28</v>
      </c>
      <c r="G121" s="13" t="n">
        <f aca="false">IFERROR(__xludf.dummyfunction("filter(Productos!K:K,A121=Productos!A:A)"),1)</f>
        <v>1</v>
      </c>
      <c r="H121" s="4" t="n">
        <f aca="false">G121*E121</f>
        <v>1</v>
      </c>
      <c r="I121" s="4" t="str">
        <f aca="false">F121</f>
        <v>Unid</v>
      </c>
      <c r="J121" s="14" t="n">
        <f aca="false">IFERROR(__xludf.dummyfunction("roundup(H121/filter(Productos!I:I,Productos!A:A=C121),1)"),1)</f>
        <v>1</v>
      </c>
      <c r="K121" s="13"/>
      <c r="L121" s="4"/>
      <c r="M121" s="4"/>
      <c r="N121" s="13"/>
      <c r="O121" s="13"/>
      <c r="P121" s="13"/>
      <c r="Q121" s="13"/>
      <c r="R121" s="13"/>
      <c r="S121" s="13"/>
      <c r="T121" s="13"/>
      <c r="U121" s="13"/>
      <c r="V121" s="13"/>
      <c r="W121" s="13"/>
      <c r="X121" s="13"/>
      <c r="Y121" s="13"/>
      <c r="Z121" s="13"/>
      <c r="AA121" s="13"/>
    </row>
    <row r="122" customFormat="false" ht="13" hidden="false" customHeight="false" outlineLevel="0" collapsed="false">
      <c r="A122" s="4" t="n">
        <v>10018</v>
      </c>
      <c r="B122" s="4" t="str">
        <f aca="false" t="array" ref="B122:B122">INDEX(Productos!$A:B,MATCH($A122,Productos!$A:$A),COLUMN(B122))</f>
        <v>Maki Salmón</v>
      </c>
      <c r="C122" s="12" t="n">
        <v>1407</v>
      </c>
      <c r="D122" s="4" t="str">
        <f aca="false" t="array" ref="D122:D122">INDEX(Productos!$A:B,MATCH($C122,Productos!$A:$A),2)</f>
        <v>Salmón cortado para envoltura</v>
      </c>
      <c r="E122" s="12" t="n">
        <v>1</v>
      </c>
      <c r="F122" s="12" t="s">
        <v>28</v>
      </c>
      <c r="G122" s="13" t="n">
        <f aca="false">IFERROR(__xludf.dummyfunction("filter(Productos!K:K,A122=Productos!A:A)"),1)</f>
        <v>1</v>
      </c>
      <c r="H122" s="4" t="n">
        <f aca="false">G122*E122</f>
        <v>1</v>
      </c>
      <c r="I122" s="4" t="str">
        <f aca="false">F122</f>
        <v>Unid</v>
      </c>
      <c r="J122" s="14" t="n">
        <f aca="false">IFERROR(__xludf.dummyfunction("roundup(H122/filter(Productos!I:I,Productos!A:A=C122),1)"),1)</f>
        <v>1</v>
      </c>
      <c r="K122" s="13"/>
      <c r="L122" s="4"/>
      <c r="M122" s="4"/>
      <c r="N122" s="13"/>
      <c r="O122" s="13"/>
      <c r="P122" s="13"/>
      <c r="Q122" s="13"/>
      <c r="R122" s="13"/>
      <c r="S122" s="13"/>
      <c r="T122" s="13"/>
      <c r="U122" s="13"/>
      <c r="V122" s="13"/>
      <c r="W122" s="13"/>
      <c r="X122" s="13"/>
      <c r="Y122" s="13"/>
      <c r="Z122" s="13"/>
      <c r="AA122" s="13"/>
    </row>
    <row r="123" customFormat="false" ht="13" hidden="false" customHeight="false" outlineLevel="0" collapsed="false">
      <c r="A123" s="4" t="n">
        <v>10018</v>
      </c>
      <c r="B123" s="4" t="str">
        <f aca="false" t="array" ref="B123:B123">INDEX(Productos!$A:B,MATCH($A123,Productos!$A:$A),COLUMN(B123))</f>
        <v>Maki Salmón</v>
      </c>
      <c r="C123" s="12" t="n">
        <v>1116</v>
      </c>
      <c r="D123" s="4" t="str">
        <f aca="false" t="array" ref="D123:D123">INDEX(Productos!$A:B,MATCH($C123,Productos!$A:$A),2)</f>
        <v>Nori entero cortado para roll</v>
      </c>
      <c r="E123" s="12" t="n">
        <v>1</v>
      </c>
      <c r="F123" s="12" t="s">
        <v>28</v>
      </c>
      <c r="G123" s="13" t="n">
        <f aca="false">IFERROR(__xludf.dummyfunction("filter(Productos!K:K,A123=Productos!A:A)"),1)</f>
        <v>1</v>
      </c>
      <c r="H123" s="4" t="n">
        <f aca="false">G123*E123</f>
        <v>1</v>
      </c>
      <c r="I123" s="4" t="str">
        <f aca="false">F123</f>
        <v>Unid</v>
      </c>
      <c r="J123" s="14" t="n">
        <f aca="false">IFERROR(__xludf.dummyfunction("roundup(H123/filter(Productos!I:I,Productos!A:A=C123),1)"),1)</f>
        <v>1</v>
      </c>
      <c r="K123" s="13"/>
      <c r="L123" s="4"/>
      <c r="M123" s="4"/>
      <c r="N123" s="13"/>
      <c r="O123" s="13"/>
      <c r="P123" s="13"/>
      <c r="Q123" s="13"/>
      <c r="R123" s="13"/>
      <c r="S123" s="13"/>
      <c r="T123" s="13"/>
      <c r="U123" s="13"/>
      <c r="V123" s="13"/>
      <c r="W123" s="13"/>
      <c r="X123" s="13"/>
      <c r="Y123" s="13"/>
      <c r="Z123" s="13"/>
      <c r="AA123" s="13"/>
    </row>
    <row r="124" customFormat="false" ht="13" hidden="false" customHeight="false" outlineLevel="0" collapsed="false">
      <c r="A124" s="4" t="n">
        <v>10019</v>
      </c>
      <c r="B124" s="4" t="str">
        <f aca="false" t="array" ref="B124:B124">INDEX(Productos!$A:B,MATCH($A124,Productos!$A:$A),COLUMN(B124))</f>
        <v>Ebi Salmón</v>
      </c>
      <c r="C124" s="12" t="n">
        <v>1201</v>
      </c>
      <c r="D124" s="4" t="str">
        <f aca="false" t="array" ref="D124:D124">INDEX(Productos!$A:B,MATCH($C124,Productos!$A:$A),2)</f>
        <v>Arroz cocido para roll</v>
      </c>
      <c r="E124" s="12" t="n">
        <v>1</v>
      </c>
      <c r="F124" s="12" t="s">
        <v>28</v>
      </c>
      <c r="G124" s="13" t="n">
        <f aca="false">IFERROR(__xludf.dummyfunction("filter(Productos!K:K,A124=Productos!A:A)"),1)</f>
        <v>1</v>
      </c>
      <c r="H124" s="4" t="n">
        <f aca="false">G124*E124</f>
        <v>1</v>
      </c>
      <c r="I124" s="4" t="str">
        <f aca="false">F124</f>
        <v>Unid</v>
      </c>
      <c r="J124" s="14" t="n">
        <f aca="false">IFERROR(__xludf.dummyfunction("roundup(H124/filter(Productos!I:I,Productos!A:A=C124),1)"),1)</f>
        <v>1</v>
      </c>
      <c r="K124" s="13"/>
      <c r="L124" s="4"/>
      <c r="M124" s="4"/>
      <c r="N124" s="13"/>
      <c r="O124" s="13"/>
      <c r="P124" s="13"/>
      <c r="Q124" s="13"/>
      <c r="R124" s="13"/>
      <c r="S124" s="13"/>
      <c r="T124" s="13"/>
      <c r="U124" s="13"/>
      <c r="V124" s="13"/>
      <c r="W124" s="13"/>
      <c r="X124" s="13"/>
      <c r="Y124" s="13"/>
      <c r="Z124" s="13"/>
      <c r="AA124" s="13"/>
    </row>
    <row r="125" customFormat="false" ht="13" hidden="false" customHeight="false" outlineLevel="0" collapsed="false">
      <c r="A125" s="4" t="n">
        <v>10019</v>
      </c>
      <c r="B125" s="4" t="str">
        <f aca="false" t="array" ref="B125:B125">INDEX(Productos!$A:B,MATCH($A125,Productos!$A:$A),COLUMN(B125))</f>
        <v>Ebi Salmón</v>
      </c>
      <c r="C125" s="12" t="n">
        <v>1106</v>
      </c>
      <c r="D125" s="4" t="str">
        <f aca="false" t="array" ref="D125:D125">INDEX(Productos!$A:B,MATCH($C125,Productos!$A:$A),2)</f>
        <v>Camarón cocido</v>
      </c>
      <c r="E125" s="12" t="n">
        <v>4</v>
      </c>
      <c r="F125" s="16" t="s">
        <v>28</v>
      </c>
      <c r="G125" s="13" t="n">
        <f aca="false">IFERROR(__xludf.dummyfunction("filter(Productos!K:K,A125=Productos!A:A)"),1)</f>
        <v>1</v>
      </c>
      <c r="H125" s="4" t="n">
        <f aca="false">G125*E125</f>
        <v>4</v>
      </c>
      <c r="I125" s="4" t="str">
        <f aca="false">F125</f>
        <v>Unid</v>
      </c>
      <c r="J125" s="14" t="n">
        <f aca="false">IFERROR(__xludf.dummyfunction("roundup(H125/filter(Productos!I:I,Productos!A:A=C125),1)"),4)</f>
        <v>4</v>
      </c>
      <c r="K125" s="13"/>
      <c r="L125" s="4"/>
      <c r="M125" s="4"/>
      <c r="N125" s="13"/>
      <c r="O125" s="13"/>
      <c r="P125" s="13"/>
      <c r="Q125" s="13"/>
      <c r="R125" s="13"/>
      <c r="S125" s="13"/>
      <c r="T125" s="13"/>
      <c r="U125" s="13"/>
      <c r="V125" s="13"/>
      <c r="W125" s="13"/>
      <c r="X125" s="13"/>
      <c r="Y125" s="13"/>
      <c r="Z125" s="13"/>
      <c r="AA125" s="13"/>
    </row>
    <row r="126" customFormat="false" ht="13" hidden="false" customHeight="false" outlineLevel="0" collapsed="false">
      <c r="A126" s="4" t="n">
        <v>10019</v>
      </c>
      <c r="B126" s="4" t="str">
        <f aca="false" t="array" ref="B126:B126">INDEX(Productos!$A:B,MATCH($A126,Productos!$A:$A),COLUMN(B126))</f>
        <v>Ebi Salmón</v>
      </c>
      <c r="C126" s="12" t="n">
        <v>1210</v>
      </c>
      <c r="D126" s="4" t="str">
        <f aca="false" t="array" ref="D126:D126">INDEX(Productos!$A:B,MATCH($C126,Productos!$A:$A),2)</f>
        <v>Palta cortada para roll</v>
      </c>
      <c r="E126" s="12" t="n">
        <v>1</v>
      </c>
      <c r="F126" s="12" t="s">
        <v>28</v>
      </c>
      <c r="G126" s="13" t="n">
        <f aca="false">IFERROR(__xludf.dummyfunction("filter(Productos!K:K,A126=Productos!A:A)"),1)</f>
        <v>1</v>
      </c>
      <c r="H126" s="4" t="n">
        <f aca="false">G126*E126</f>
        <v>1</v>
      </c>
      <c r="I126" s="4" t="str">
        <f aca="false">F126</f>
        <v>Unid</v>
      </c>
      <c r="J126" s="14" t="n">
        <f aca="false">IFERROR(__xludf.dummyfunction("roundup(H126/filter(Productos!I:I,Productos!A:A=C126),1)"),1)</f>
        <v>1</v>
      </c>
      <c r="K126" s="13"/>
      <c r="L126" s="4"/>
      <c r="M126" s="4"/>
      <c r="N126" s="13"/>
      <c r="O126" s="13"/>
      <c r="P126" s="13"/>
      <c r="Q126" s="13"/>
      <c r="R126" s="13"/>
      <c r="S126" s="13"/>
      <c r="T126" s="13"/>
      <c r="U126" s="13"/>
      <c r="V126" s="13"/>
      <c r="W126" s="13"/>
      <c r="X126" s="13"/>
      <c r="Y126" s="13"/>
      <c r="Z126" s="13"/>
      <c r="AA126" s="13"/>
    </row>
    <row r="127" customFormat="false" ht="13" hidden="false" customHeight="false" outlineLevel="0" collapsed="false">
      <c r="A127" s="4" t="n">
        <v>10019</v>
      </c>
      <c r="B127" s="4" t="str">
        <f aca="false" t="array" ref="B127:B127">INDEX(Productos!$A:B,MATCH($A127,Productos!$A:$A),COLUMN(B127))</f>
        <v>Ebi Salmón</v>
      </c>
      <c r="C127" s="12" t="n">
        <v>1116</v>
      </c>
      <c r="D127" s="4" t="str">
        <f aca="false" t="array" ref="D127:D127">INDEX(Productos!$A:B,MATCH($C127,Productos!$A:$A),2)</f>
        <v>Nori entero cortado para roll</v>
      </c>
      <c r="E127" s="12" t="n">
        <v>1</v>
      </c>
      <c r="F127" s="12" t="s">
        <v>28</v>
      </c>
      <c r="G127" s="13" t="n">
        <f aca="false">IFERROR(__xludf.dummyfunction("filter(Productos!K:K,A127=Productos!A:A)"),1)</f>
        <v>1</v>
      </c>
      <c r="H127" s="4" t="n">
        <f aca="false">G127*E127</f>
        <v>1</v>
      </c>
      <c r="I127" s="4" t="str">
        <f aca="false">F127</f>
        <v>Unid</v>
      </c>
      <c r="J127" s="14" t="n">
        <f aca="false">IFERROR(__xludf.dummyfunction("roundup(H127/filter(Productos!I:I,Productos!A:A=C127),1)"),1)</f>
        <v>1</v>
      </c>
      <c r="K127" s="13"/>
      <c r="L127" s="4"/>
      <c r="M127" s="4"/>
      <c r="N127" s="13"/>
      <c r="O127" s="13"/>
      <c r="P127" s="13"/>
      <c r="Q127" s="13"/>
      <c r="R127" s="13"/>
      <c r="S127" s="13"/>
      <c r="T127" s="13"/>
      <c r="U127" s="13"/>
      <c r="V127" s="13"/>
      <c r="W127" s="13"/>
      <c r="X127" s="13"/>
      <c r="Y127" s="13"/>
      <c r="Z127" s="13"/>
      <c r="AA127" s="13"/>
    </row>
    <row r="128" customFormat="false" ht="13" hidden="false" customHeight="false" outlineLevel="0" collapsed="false">
      <c r="A128" s="4" t="n">
        <v>10019</v>
      </c>
      <c r="B128" s="4" t="str">
        <f aca="false" t="array" ref="B128:B128">INDEX(Productos!$A:B,MATCH($A128,Productos!$A:$A),COLUMN(B128))</f>
        <v>Ebi Salmón</v>
      </c>
      <c r="C128" s="12" t="n">
        <v>1407</v>
      </c>
      <c r="D128" s="4" t="str">
        <f aca="false" t="array" ref="D128:D128">INDEX(Productos!$A:B,MATCH($C128,Productos!$A:$A),2)</f>
        <v>Salmón cortado para envoltura</v>
      </c>
      <c r="E128" s="12" t="n">
        <v>1</v>
      </c>
      <c r="F128" s="12" t="s">
        <v>28</v>
      </c>
      <c r="G128" s="13" t="n">
        <f aca="false">IFERROR(__xludf.dummyfunction("filter(Productos!K:K,A128=Productos!A:A)"),1)</f>
        <v>1</v>
      </c>
      <c r="H128" s="4" t="n">
        <f aca="false">G128*E128</f>
        <v>1</v>
      </c>
      <c r="I128" s="4" t="str">
        <f aca="false">F128</f>
        <v>Unid</v>
      </c>
      <c r="J128" s="14" t="n">
        <f aca="false">IFERROR(__xludf.dummyfunction("roundup(H128/filter(Productos!I:I,Productos!A:A=C128),1)"),1)</f>
        <v>1</v>
      </c>
      <c r="K128" s="13"/>
      <c r="L128" s="4"/>
      <c r="M128" s="4"/>
      <c r="N128" s="13"/>
      <c r="O128" s="13"/>
      <c r="P128" s="13"/>
      <c r="Q128" s="13"/>
      <c r="R128" s="13"/>
      <c r="S128" s="13"/>
      <c r="T128" s="13"/>
      <c r="U128" s="13"/>
      <c r="V128" s="13"/>
      <c r="W128" s="13"/>
      <c r="X128" s="13"/>
      <c r="Y128" s="13"/>
      <c r="Z128" s="13"/>
      <c r="AA128" s="13"/>
    </row>
    <row r="129" customFormat="false" ht="13" hidden="false" customHeight="false" outlineLevel="0" collapsed="false">
      <c r="A129" s="4" t="n">
        <v>10020</v>
      </c>
      <c r="B129" s="4" t="str">
        <f aca="false" t="array" ref="B129:B129">INDEX(Productos!$A:B,MATCH($A129,Productos!$A:$A),COLUMN(B129))</f>
        <v>Ebi Salmón Especial</v>
      </c>
      <c r="C129" s="12" t="n">
        <v>1201</v>
      </c>
      <c r="D129" s="4" t="str">
        <f aca="false" t="array" ref="D129:D129">INDEX(Productos!$A:B,MATCH($C129,Productos!$A:$A),2)</f>
        <v>Arroz cocido para roll</v>
      </c>
      <c r="E129" s="12" t="n">
        <v>1</v>
      </c>
      <c r="F129" s="12" t="s">
        <v>28</v>
      </c>
      <c r="G129" s="13" t="n">
        <f aca="false">IFERROR(__xludf.dummyfunction("filter(Productos!K:K,A129=Productos!A:A)"),1)</f>
        <v>1</v>
      </c>
      <c r="H129" s="4" t="n">
        <f aca="false">G129*E129</f>
        <v>1</v>
      </c>
      <c r="I129" s="4" t="str">
        <f aca="false">F129</f>
        <v>Unid</v>
      </c>
      <c r="J129" s="14" t="n">
        <f aca="false">IFERROR(__xludf.dummyfunction("roundup(H129/filter(Productos!I:I,Productos!A:A=C129),1)"),1)</f>
        <v>1</v>
      </c>
      <c r="K129" s="13"/>
      <c r="L129" s="4"/>
      <c r="M129" s="4"/>
      <c r="N129" s="13"/>
      <c r="O129" s="13"/>
      <c r="P129" s="13"/>
      <c r="Q129" s="13"/>
      <c r="R129" s="13"/>
      <c r="S129" s="13"/>
      <c r="T129" s="13"/>
      <c r="U129" s="13"/>
      <c r="V129" s="13"/>
      <c r="W129" s="13"/>
      <c r="X129" s="13"/>
      <c r="Y129" s="13"/>
      <c r="Z129" s="13"/>
      <c r="AA129" s="13"/>
    </row>
    <row r="130" customFormat="false" ht="13" hidden="false" customHeight="false" outlineLevel="0" collapsed="false">
      <c r="A130" s="4" t="n">
        <v>10020</v>
      </c>
      <c r="B130" s="4" t="str">
        <f aca="false" t="array" ref="B130:B130">INDEX(Productos!$A:B,MATCH($A130,Productos!$A:$A),COLUMN(B130))</f>
        <v>Ebi Salmón Especial</v>
      </c>
      <c r="C130" s="12" t="n">
        <v>1116</v>
      </c>
      <c r="D130" s="4" t="str">
        <f aca="false" t="array" ref="D130:D130">INDEX(Productos!$A:B,MATCH($C130,Productos!$A:$A),2)</f>
        <v>Nori entero cortado para roll</v>
      </c>
      <c r="E130" s="12" t="n">
        <v>1</v>
      </c>
      <c r="F130" s="12" t="s">
        <v>28</v>
      </c>
      <c r="G130" s="13" t="n">
        <f aca="false">IFERROR(__xludf.dummyfunction("filter(Productos!K:K,A130=Productos!A:A)"),1)</f>
        <v>1</v>
      </c>
      <c r="H130" s="4" t="n">
        <f aca="false">G130*E130</f>
        <v>1</v>
      </c>
      <c r="I130" s="4" t="str">
        <f aca="false">F130</f>
        <v>Unid</v>
      </c>
      <c r="J130" s="14" t="n">
        <f aca="false">IFERROR(__xludf.dummyfunction("roundup(H130/filter(Productos!I:I,Productos!A:A=C130),1)"),1)</f>
        <v>1</v>
      </c>
      <c r="K130" s="13"/>
      <c r="L130" s="4"/>
      <c r="M130" s="4"/>
      <c r="N130" s="13"/>
      <c r="O130" s="13"/>
      <c r="P130" s="13"/>
      <c r="Q130" s="13"/>
      <c r="R130" s="13"/>
      <c r="S130" s="13"/>
      <c r="T130" s="13"/>
      <c r="U130" s="13"/>
      <c r="V130" s="13"/>
      <c r="W130" s="13"/>
      <c r="X130" s="13"/>
      <c r="Y130" s="13"/>
      <c r="Z130" s="13"/>
      <c r="AA130" s="13"/>
    </row>
    <row r="131" customFormat="false" ht="13" hidden="false" customHeight="false" outlineLevel="0" collapsed="false">
      <c r="A131" s="4" t="n">
        <v>10020</v>
      </c>
      <c r="B131" s="4" t="str">
        <f aca="false" t="array" ref="B131:B131">INDEX(Productos!$A:B,MATCH($A131,Productos!$A:$A),COLUMN(B131))</f>
        <v>Ebi Salmón Especial</v>
      </c>
      <c r="C131" s="12" t="n">
        <v>1106</v>
      </c>
      <c r="D131" s="4" t="str">
        <f aca="false" t="array" ref="D131:D131">INDEX(Productos!$A:B,MATCH($C131,Productos!$A:$A),2)</f>
        <v>Camarón cocido</v>
      </c>
      <c r="E131" s="12" t="n">
        <v>4</v>
      </c>
      <c r="F131" s="16" t="s">
        <v>28</v>
      </c>
      <c r="G131" s="13" t="n">
        <f aca="false">IFERROR(__xludf.dummyfunction("filter(Productos!K:K,A131=Productos!A:A)"),1)</f>
        <v>1</v>
      </c>
      <c r="H131" s="4" t="n">
        <f aca="false">G131*E131</f>
        <v>4</v>
      </c>
      <c r="I131" s="4" t="str">
        <f aca="false">F131</f>
        <v>Unid</v>
      </c>
      <c r="J131" s="14" t="n">
        <f aca="false">IFERROR(__xludf.dummyfunction("roundup(H131/filter(Productos!I:I,Productos!A:A=C131),1)"),4)</f>
        <v>4</v>
      </c>
      <c r="K131" s="13"/>
      <c r="L131" s="4"/>
      <c r="M131" s="4"/>
      <c r="N131" s="13"/>
      <c r="O131" s="13"/>
      <c r="P131" s="13"/>
      <c r="Q131" s="13"/>
      <c r="R131" s="13"/>
      <c r="S131" s="13"/>
      <c r="T131" s="13"/>
      <c r="U131" s="13"/>
      <c r="V131" s="13"/>
      <c r="W131" s="13"/>
      <c r="X131" s="13"/>
      <c r="Y131" s="13"/>
      <c r="Z131" s="13"/>
      <c r="AA131" s="13"/>
    </row>
    <row r="132" customFormat="false" ht="13" hidden="false" customHeight="false" outlineLevel="0" collapsed="false">
      <c r="A132" s="4" t="n">
        <v>10020</v>
      </c>
      <c r="B132" s="4" t="str">
        <f aca="false" t="array" ref="B132:B132">INDEX(Productos!$A:B,MATCH($A132,Productos!$A:$A),COLUMN(B132))</f>
        <v>Ebi Salmón Especial</v>
      </c>
      <c r="C132" s="12" t="n">
        <v>1112</v>
      </c>
      <c r="D132" s="4" t="str">
        <f aca="false" t="array" ref="D132:D132">INDEX(Productos!$A:B,MATCH($C132,Productos!$A:$A),2)</f>
        <v>Queso crema para roll</v>
      </c>
      <c r="E132" s="12" t="n">
        <v>1</v>
      </c>
      <c r="F132" s="12" t="s">
        <v>28</v>
      </c>
      <c r="G132" s="13" t="n">
        <f aca="false">IFERROR(__xludf.dummyfunction("filter(Productos!K:K,A132=Productos!A:A)"),1)</f>
        <v>1</v>
      </c>
      <c r="H132" s="4" t="n">
        <f aca="false">G132*E132</f>
        <v>1</v>
      </c>
      <c r="I132" s="4" t="str">
        <f aca="false">F132</f>
        <v>Unid</v>
      </c>
      <c r="J132" s="14" t="n">
        <f aca="false">IFERROR(__xludf.dummyfunction("roundup(H132/filter(Productos!I:I,Productos!A:A=C132),1)"),1)</f>
        <v>1</v>
      </c>
      <c r="K132" s="13"/>
      <c r="L132" s="4"/>
      <c r="M132" s="4"/>
      <c r="N132" s="13"/>
      <c r="O132" s="13"/>
      <c r="P132" s="13"/>
      <c r="Q132" s="13"/>
      <c r="R132" s="13"/>
      <c r="S132" s="13"/>
      <c r="T132" s="13"/>
      <c r="U132" s="13"/>
      <c r="V132" s="13"/>
      <c r="W132" s="13"/>
      <c r="X132" s="13"/>
      <c r="Y132" s="13"/>
      <c r="Z132" s="13"/>
      <c r="AA132" s="13"/>
    </row>
    <row r="133" customFormat="false" ht="13" hidden="false" customHeight="false" outlineLevel="0" collapsed="false">
      <c r="A133" s="4" t="n">
        <v>10020</v>
      </c>
      <c r="B133" s="4" t="str">
        <f aca="false" t="array" ref="B133:B133">INDEX(Productos!$A:B,MATCH($A133,Productos!$A:$A),COLUMN(B133))</f>
        <v>Ebi Salmón Especial</v>
      </c>
      <c r="C133" s="12" t="n">
        <v>1114</v>
      </c>
      <c r="D133" s="4" t="str">
        <f aca="false" t="array" ref="D133:D133">INDEX(Productos!$A:B,MATCH($C133,Productos!$A:$A),2)</f>
        <v>Cebollín cortado para roll</v>
      </c>
      <c r="E133" s="12" t="n">
        <v>1</v>
      </c>
      <c r="F133" s="12" t="s">
        <v>28</v>
      </c>
      <c r="G133" s="13" t="n">
        <f aca="false">IFERROR(__xludf.dummyfunction("filter(Productos!K:K,A133=Productos!A:A)"),1)</f>
        <v>1</v>
      </c>
      <c r="H133" s="4" t="n">
        <f aca="false">G133*E133</f>
        <v>1</v>
      </c>
      <c r="I133" s="4" t="str">
        <f aca="false">F133</f>
        <v>Unid</v>
      </c>
      <c r="J133" s="14" t="n">
        <f aca="false">IFERROR(__xludf.dummyfunction("roundup(H133/filter(Productos!I:I,Productos!A:A=C133),1)"),1)</f>
        <v>1</v>
      </c>
      <c r="K133" s="13"/>
      <c r="L133" s="4"/>
      <c r="M133" s="4"/>
      <c r="N133" s="13"/>
      <c r="O133" s="13"/>
      <c r="P133" s="13"/>
      <c r="Q133" s="13"/>
      <c r="R133" s="13"/>
      <c r="S133" s="13"/>
      <c r="T133" s="13"/>
      <c r="U133" s="13"/>
      <c r="V133" s="13"/>
      <c r="W133" s="13"/>
      <c r="X133" s="13"/>
      <c r="Y133" s="13"/>
      <c r="Z133" s="13"/>
      <c r="AA133" s="13"/>
    </row>
    <row r="134" customFormat="false" ht="13" hidden="false" customHeight="false" outlineLevel="0" collapsed="false">
      <c r="A134" s="4" t="n">
        <v>10020</v>
      </c>
      <c r="B134" s="4" t="str">
        <f aca="false" t="array" ref="B134:B134">INDEX(Productos!$A:B,MATCH($A134,Productos!$A:$A),COLUMN(B134))</f>
        <v>Ebi Salmón Especial</v>
      </c>
      <c r="C134" s="12" t="n">
        <v>1407</v>
      </c>
      <c r="D134" s="4" t="str">
        <f aca="false" t="array" ref="D134:D134">INDEX(Productos!$A:B,MATCH($C134,Productos!$A:$A),2)</f>
        <v>Salmón cortado para envoltura</v>
      </c>
      <c r="E134" s="12" t="n">
        <v>1</v>
      </c>
      <c r="F134" s="12" t="s">
        <v>28</v>
      </c>
      <c r="G134" s="13" t="n">
        <f aca="false">IFERROR(__xludf.dummyfunction("filter(Productos!K:K,A134=Productos!A:A)"),1)</f>
        <v>1</v>
      </c>
      <c r="H134" s="4" t="n">
        <f aca="false">G134*E134</f>
        <v>1</v>
      </c>
      <c r="I134" s="4" t="str">
        <f aca="false">F134</f>
        <v>Unid</v>
      </c>
      <c r="J134" s="14" t="n">
        <f aca="false">IFERROR(__xludf.dummyfunction("roundup(H134/filter(Productos!I:I,Productos!A:A=C134),1)"),1)</f>
        <v>1</v>
      </c>
      <c r="K134" s="13"/>
      <c r="L134" s="4"/>
      <c r="M134" s="4"/>
      <c r="N134" s="13"/>
      <c r="O134" s="13"/>
      <c r="P134" s="13"/>
      <c r="Q134" s="13"/>
      <c r="R134" s="13"/>
      <c r="S134" s="13"/>
      <c r="T134" s="13"/>
      <c r="U134" s="13"/>
      <c r="V134" s="13"/>
      <c r="W134" s="13"/>
      <c r="X134" s="13"/>
      <c r="Y134" s="13"/>
      <c r="Z134" s="13"/>
      <c r="AA134" s="13"/>
    </row>
    <row r="135" customFormat="false" ht="13" hidden="false" customHeight="false" outlineLevel="0" collapsed="false">
      <c r="A135" s="4" t="n">
        <v>10021</v>
      </c>
      <c r="B135" s="4" t="str">
        <f aca="false" t="array" ref="B135:B135">INDEX(Productos!$A:B,MATCH($A135,Productos!$A:$A),COLUMN(B135))</f>
        <v>Maguro Salmón</v>
      </c>
      <c r="C135" s="12" t="n">
        <v>1201</v>
      </c>
      <c r="D135" s="4" t="str">
        <f aca="false" t="array" ref="D135:D135">INDEX(Productos!$A:B,MATCH($C135,Productos!$A:$A),2)</f>
        <v>Arroz cocido para roll</v>
      </c>
      <c r="E135" s="12" t="n">
        <v>1</v>
      </c>
      <c r="F135" s="12" t="s">
        <v>28</v>
      </c>
      <c r="G135" s="13" t="n">
        <f aca="false">IFERROR(__xludf.dummyfunction("filter(Productos!K:K,A135=Productos!A:A)"),1)</f>
        <v>1</v>
      </c>
      <c r="H135" s="4" t="n">
        <f aca="false">G135*E135</f>
        <v>1</v>
      </c>
      <c r="I135" s="4" t="str">
        <f aca="false">F135</f>
        <v>Unid</v>
      </c>
      <c r="J135" s="14" t="n">
        <f aca="false">IFERROR(__xludf.dummyfunction("roundup(H135/filter(Productos!I:I,Productos!A:A=C135),1)"),1)</f>
        <v>1</v>
      </c>
      <c r="K135" s="13"/>
      <c r="L135" s="4"/>
      <c r="M135" s="4"/>
      <c r="N135" s="13"/>
      <c r="O135" s="13"/>
      <c r="P135" s="13"/>
      <c r="Q135" s="13"/>
      <c r="R135" s="13"/>
      <c r="S135" s="13"/>
      <c r="T135" s="13"/>
      <c r="U135" s="13"/>
      <c r="V135" s="13"/>
      <c r="W135" s="13"/>
      <c r="X135" s="13"/>
      <c r="Y135" s="13"/>
      <c r="Z135" s="13"/>
      <c r="AA135" s="13"/>
    </row>
    <row r="136" customFormat="false" ht="13" hidden="false" customHeight="false" outlineLevel="0" collapsed="false">
      <c r="A136" s="4" t="n">
        <v>10021</v>
      </c>
      <c r="B136" s="4" t="str">
        <f aca="false" t="array" ref="B136:B136">INDEX(Productos!$A:B,MATCH($A136,Productos!$A:$A),COLUMN(B136))</f>
        <v>Maguro Salmón</v>
      </c>
      <c r="C136" s="12" t="n">
        <v>1116</v>
      </c>
      <c r="D136" s="4" t="str">
        <f aca="false" t="array" ref="D136:D136">INDEX(Productos!$A:B,MATCH($C136,Productos!$A:$A),2)</f>
        <v>Nori entero cortado para roll</v>
      </c>
      <c r="E136" s="12" t="n">
        <v>1</v>
      </c>
      <c r="F136" s="12" t="s">
        <v>28</v>
      </c>
      <c r="G136" s="13" t="n">
        <f aca="false">IFERROR(__xludf.dummyfunction("filter(Productos!K:K,A136=Productos!A:A)"),1)</f>
        <v>1</v>
      </c>
      <c r="H136" s="4" t="n">
        <f aca="false">G136*E136</f>
        <v>1</v>
      </c>
      <c r="I136" s="4" t="str">
        <f aca="false">F136</f>
        <v>Unid</v>
      </c>
      <c r="J136" s="14" t="n">
        <f aca="false">IFERROR(__xludf.dummyfunction("roundup(H136/filter(Productos!I:I,Productos!A:A=C136),1)"),1)</f>
        <v>1</v>
      </c>
      <c r="K136" s="13"/>
      <c r="L136" s="4"/>
      <c r="M136" s="4"/>
      <c r="N136" s="13"/>
      <c r="O136" s="13"/>
      <c r="P136" s="13"/>
      <c r="Q136" s="13"/>
      <c r="R136" s="13"/>
      <c r="S136" s="13"/>
      <c r="T136" s="13"/>
      <c r="U136" s="13"/>
      <c r="V136" s="13"/>
      <c r="W136" s="13"/>
      <c r="X136" s="13"/>
      <c r="Y136" s="13"/>
      <c r="Z136" s="13"/>
      <c r="AA136" s="13"/>
    </row>
    <row r="137" customFormat="false" ht="13" hidden="false" customHeight="false" outlineLevel="0" collapsed="false">
      <c r="A137" s="4" t="n">
        <v>10021</v>
      </c>
      <c r="B137" s="4" t="str">
        <f aca="false" t="array" ref="B137:B137">INDEX(Productos!$A:B,MATCH($A137,Productos!$A:$A),COLUMN(B137))</f>
        <v>Maguro Salmón</v>
      </c>
      <c r="C137" s="12" t="n">
        <v>1109</v>
      </c>
      <c r="D137" s="4" t="str">
        <f aca="false" t="array" ref="D137:D137">INDEX(Productos!$A:B,MATCH($C137,Productos!$A:$A),2)</f>
        <v>Atún cortado para roll</v>
      </c>
      <c r="E137" s="12" t="n">
        <v>1</v>
      </c>
      <c r="F137" s="12" t="s">
        <v>28</v>
      </c>
      <c r="G137" s="13" t="n">
        <f aca="false">IFERROR(__xludf.dummyfunction("filter(Productos!K:K,A137=Productos!A:A)"),1)</f>
        <v>1</v>
      </c>
      <c r="H137" s="4" t="n">
        <f aca="false">G137*E137</f>
        <v>1</v>
      </c>
      <c r="I137" s="4" t="str">
        <f aca="false">F137</f>
        <v>Unid</v>
      </c>
      <c r="J137" s="14" t="n">
        <f aca="false">IFERROR(__xludf.dummyfunction("roundup(H137/filter(Productos!I:I,Productos!A:A=C137),1)"),1)</f>
        <v>1</v>
      </c>
      <c r="K137" s="13"/>
      <c r="L137" s="4"/>
      <c r="M137" s="4"/>
      <c r="N137" s="13"/>
      <c r="O137" s="13"/>
      <c r="P137" s="13"/>
      <c r="Q137" s="13"/>
      <c r="R137" s="13"/>
      <c r="S137" s="13"/>
      <c r="T137" s="13"/>
      <c r="U137" s="13"/>
      <c r="V137" s="13"/>
      <c r="W137" s="13"/>
      <c r="X137" s="13"/>
      <c r="Y137" s="13"/>
      <c r="Z137" s="13"/>
      <c r="AA137" s="13"/>
    </row>
    <row r="138" customFormat="false" ht="13" hidden="false" customHeight="false" outlineLevel="0" collapsed="false">
      <c r="A138" s="4" t="n">
        <v>10021</v>
      </c>
      <c r="B138" s="4" t="str">
        <f aca="false" t="array" ref="B138:B138">INDEX(Productos!$A:B,MATCH($A138,Productos!$A:$A),COLUMN(B138))</f>
        <v>Maguro Salmón</v>
      </c>
      <c r="C138" s="12" t="n">
        <v>1114</v>
      </c>
      <c r="D138" s="4" t="str">
        <f aca="false" t="array" ref="D138:D138">INDEX(Productos!$A:B,MATCH($C138,Productos!$A:$A),2)</f>
        <v>Cebollín cortado para roll</v>
      </c>
      <c r="E138" s="12" t="n">
        <v>1</v>
      </c>
      <c r="F138" s="12" t="s">
        <v>28</v>
      </c>
      <c r="G138" s="13" t="n">
        <f aca="false">IFERROR(__xludf.dummyfunction("filter(Productos!K:K,A138=Productos!A:A)"),1)</f>
        <v>1</v>
      </c>
      <c r="H138" s="4" t="n">
        <f aca="false">G138*E138</f>
        <v>1</v>
      </c>
      <c r="I138" s="4" t="str">
        <f aca="false">F138</f>
        <v>Unid</v>
      </c>
      <c r="J138" s="14" t="n">
        <f aca="false">IFERROR(__xludf.dummyfunction("roundup(H138/filter(Productos!I:I,Productos!A:A=C138),1)"),1)</f>
        <v>1</v>
      </c>
      <c r="K138" s="13"/>
      <c r="L138" s="4"/>
      <c r="M138" s="4"/>
      <c r="N138" s="13"/>
      <c r="O138" s="13"/>
      <c r="P138" s="13"/>
      <c r="Q138" s="13"/>
      <c r="R138" s="13"/>
      <c r="S138" s="13"/>
      <c r="T138" s="13"/>
      <c r="U138" s="13"/>
      <c r="V138" s="13"/>
      <c r="W138" s="13"/>
      <c r="X138" s="13"/>
      <c r="Y138" s="13"/>
      <c r="Z138" s="13"/>
      <c r="AA138" s="13"/>
    </row>
    <row r="139" customFormat="false" ht="13" hidden="false" customHeight="false" outlineLevel="0" collapsed="false">
      <c r="A139" s="4" t="n">
        <v>10021</v>
      </c>
      <c r="B139" s="4" t="str">
        <f aca="false" t="array" ref="B139:B139">INDEX(Productos!$A:B,MATCH($A139,Productos!$A:$A),COLUMN(B139))</f>
        <v>Maguro Salmón</v>
      </c>
      <c r="C139" s="12" t="n">
        <v>1407</v>
      </c>
      <c r="D139" s="4" t="str">
        <f aca="false" t="array" ref="D139:D139">INDEX(Productos!$A:B,MATCH($C139,Productos!$A:$A),2)</f>
        <v>Salmón cortado para envoltura</v>
      </c>
      <c r="E139" s="12" t="n">
        <v>1</v>
      </c>
      <c r="F139" s="12" t="s">
        <v>28</v>
      </c>
      <c r="G139" s="13" t="n">
        <f aca="false">IFERROR(__xludf.dummyfunction("filter(Productos!K:K,A139=Productos!A:A)"),1)</f>
        <v>1</v>
      </c>
      <c r="H139" s="4" t="n">
        <f aca="false">G139*E139</f>
        <v>1</v>
      </c>
      <c r="I139" s="4" t="str">
        <f aca="false">F139</f>
        <v>Unid</v>
      </c>
      <c r="J139" s="14" t="n">
        <f aca="false">IFERROR(__xludf.dummyfunction("roundup(H139/filter(Productos!I:I,Productos!A:A=C139),1)"),1)</f>
        <v>1</v>
      </c>
      <c r="K139" s="13"/>
      <c r="L139" s="4"/>
      <c r="M139" s="4"/>
      <c r="N139" s="13"/>
      <c r="O139" s="13"/>
      <c r="P139" s="13"/>
      <c r="Q139" s="13"/>
      <c r="R139" s="13"/>
      <c r="S139" s="13"/>
      <c r="T139" s="13"/>
      <c r="U139" s="13"/>
      <c r="V139" s="13"/>
      <c r="W139" s="13"/>
      <c r="X139" s="13"/>
      <c r="Y139" s="13"/>
      <c r="Z139" s="13"/>
      <c r="AA139" s="13"/>
    </row>
    <row r="140" customFormat="false" ht="13" hidden="false" customHeight="false" outlineLevel="0" collapsed="false">
      <c r="A140" s="4" t="n">
        <v>10022</v>
      </c>
      <c r="B140" s="4" t="str">
        <f aca="false" t="array" ref="B140:B140">INDEX(Productos!$A:B,MATCH($A140,Productos!$A:$A),COLUMN(B140))</f>
        <v>Sake Ciboulette</v>
      </c>
      <c r="C140" s="12" t="n">
        <v>1201</v>
      </c>
      <c r="D140" s="4" t="str">
        <f aca="false" t="array" ref="D140:D140">INDEX(Productos!$A:B,MATCH($C140,Productos!$A:$A),2)</f>
        <v>Arroz cocido para roll</v>
      </c>
      <c r="E140" s="12" t="n">
        <v>1</v>
      </c>
      <c r="F140" s="12" t="s">
        <v>28</v>
      </c>
      <c r="G140" s="13" t="n">
        <f aca="false">IFERROR(__xludf.dummyfunction("filter(Productos!K:K,A140=Productos!A:A)"),1)</f>
        <v>1</v>
      </c>
      <c r="H140" s="4" t="n">
        <f aca="false">G140*E140</f>
        <v>1</v>
      </c>
      <c r="I140" s="4" t="str">
        <f aca="false">F140</f>
        <v>Unid</v>
      </c>
      <c r="J140" s="14" t="n">
        <f aca="false">IFERROR(__xludf.dummyfunction("roundup(H140/filter(Productos!I:I,Productos!A:A=C140),1)"),1)</f>
        <v>1</v>
      </c>
      <c r="K140" s="13"/>
      <c r="L140" s="4"/>
      <c r="M140" s="4"/>
      <c r="N140" s="13"/>
      <c r="O140" s="13"/>
      <c r="P140" s="13"/>
      <c r="Q140" s="13"/>
      <c r="R140" s="13"/>
      <c r="S140" s="13"/>
      <c r="T140" s="13"/>
      <c r="U140" s="13"/>
      <c r="V140" s="13"/>
      <c r="W140" s="13"/>
      <c r="X140" s="13"/>
      <c r="Y140" s="13"/>
      <c r="Z140" s="13"/>
      <c r="AA140" s="13"/>
    </row>
    <row r="141" customFormat="false" ht="13" hidden="false" customHeight="false" outlineLevel="0" collapsed="false">
      <c r="A141" s="4" t="n">
        <v>10022</v>
      </c>
      <c r="B141" s="4" t="str">
        <f aca="false" t="array" ref="B141:B141">INDEX(Productos!$A:B,MATCH($A141,Productos!$A:$A),COLUMN(B141))</f>
        <v>Sake Ciboulette</v>
      </c>
      <c r="C141" s="12" t="n">
        <v>1116</v>
      </c>
      <c r="D141" s="4" t="str">
        <f aca="false" t="array" ref="D141:D141">INDEX(Productos!$A:B,MATCH($C141,Productos!$A:$A),2)</f>
        <v>Nori entero cortado para roll</v>
      </c>
      <c r="E141" s="12" t="n">
        <v>1</v>
      </c>
      <c r="F141" s="12" t="s">
        <v>28</v>
      </c>
      <c r="G141" s="13" t="n">
        <f aca="false">IFERROR(__xludf.dummyfunction("filter(Productos!K:K,A141=Productos!A:A)"),1)</f>
        <v>1</v>
      </c>
      <c r="H141" s="4" t="n">
        <f aca="false">G141*E141</f>
        <v>1</v>
      </c>
      <c r="I141" s="4" t="str">
        <f aca="false">F141</f>
        <v>Unid</v>
      </c>
      <c r="J141" s="14" t="n">
        <f aca="false">IFERROR(__xludf.dummyfunction("roundup(H141/filter(Productos!I:I,Productos!A:A=C141),1)"),1)</f>
        <v>1</v>
      </c>
      <c r="K141" s="13"/>
      <c r="L141" s="4"/>
      <c r="M141" s="4"/>
      <c r="N141" s="13"/>
      <c r="O141" s="13"/>
      <c r="P141" s="13"/>
      <c r="Q141" s="13"/>
      <c r="R141" s="13"/>
      <c r="S141" s="13"/>
      <c r="T141" s="13"/>
      <c r="U141" s="13"/>
      <c r="V141" s="13"/>
      <c r="W141" s="13"/>
      <c r="X141" s="13"/>
      <c r="Y141" s="13"/>
      <c r="Z141" s="13"/>
      <c r="AA141" s="13"/>
    </row>
    <row r="142" customFormat="false" ht="13" hidden="false" customHeight="false" outlineLevel="0" collapsed="false">
      <c r="A142" s="4" t="n">
        <v>10022</v>
      </c>
      <c r="B142" s="4" t="str">
        <f aca="false" t="array" ref="B142:B142">INDEX(Productos!$A:B,MATCH($A142,Productos!$A:$A),COLUMN(B142))</f>
        <v>Sake Ciboulette</v>
      </c>
      <c r="C142" s="12" t="n">
        <v>1107</v>
      </c>
      <c r="D142" s="4" t="str">
        <f aca="false" t="array" ref="D142:D142">INDEX(Productos!$A:B,MATCH($C142,Productos!$A:$A),2)</f>
        <v>Salmón cortado para roll</v>
      </c>
      <c r="E142" s="12" t="n">
        <v>1</v>
      </c>
      <c r="F142" s="12" t="s">
        <v>28</v>
      </c>
      <c r="G142" s="13" t="n">
        <f aca="false">IFERROR(__xludf.dummyfunction("filter(Productos!K:K,A142=Productos!A:A)"),1)</f>
        <v>1</v>
      </c>
      <c r="H142" s="4" t="n">
        <f aca="false">G142*E142</f>
        <v>1</v>
      </c>
      <c r="I142" s="4" t="str">
        <f aca="false">F142</f>
        <v>Unid</v>
      </c>
      <c r="J142" s="14" t="n">
        <f aca="false">IFERROR(__xludf.dummyfunction("roundup(H142/filter(Productos!I:I,Productos!A:A=C142),1)"),1)</f>
        <v>1</v>
      </c>
      <c r="K142" s="13"/>
      <c r="L142" s="4"/>
      <c r="M142" s="4"/>
      <c r="N142" s="13"/>
      <c r="O142" s="13"/>
      <c r="P142" s="13"/>
      <c r="Q142" s="13"/>
      <c r="R142" s="13"/>
      <c r="S142" s="13"/>
      <c r="T142" s="13"/>
      <c r="U142" s="13"/>
      <c r="V142" s="13"/>
      <c r="W142" s="13"/>
      <c r="X142" s="13"/>
      <c r="Y142" s="13"/>
      <c r="Z142" s="13"/>
      <c r="AA142" s="13"/>
    </row>
    <row r="143" customFormat="false" ht="13" hidden="false" customHeight="false" outlineLevel="0" collapsed="false">
      <c r="A143" s="4" t="n">
        <v>10022</v>
      </c>
      <c r="B143" s="4" t="str">
        <f aca="false" t="array" ref="B143:B143">INDEX(Productos!$A:B,MATCH($A143,Productos!$A:$A),COLUMN(B143))</f>
        <v>Sake Ciboulette</v>
      </c>
      <c r="C143" s="12" t="n">
        <v>1112</v>
      </c>
      <c r="D143" s="4" t="str">
        <f aca="false" t="array" ref="D143:D143">INDEX(Productos!$A:B,MATCH($C143,Productos!$A:$A),2)</f>
        <v>Queso crema para roll</v>
      </c>
      <c r="E143" s="12" t="n">
        <v>1</v>
      </c>
      <c r="F143" s="12" t="s">
        <v>28</v>
      </c>
      <c r="G143" s="13" t="n">
        <f aca="false">IFERROR(__xludf.dummyfunction("filter(Productos!K:K,A143=Productos!A:A)"),1)</f>
        <v>1</v>
      </c>
      <c r="H143" s="4" t="n">
        <f aca="false">G143*E143</f>
        <v>1</v>
      </c>
      <c r="I143" s="4" t="str">
        <f aca="false">F143</f>
        <v>Unid</v>
      </c>
      <c r="J143" s="14" t="n">
        <f aca="false">IFERROR(__xludf.dummyfunction("roundup(H143/filter(Productos!I:I,Productos!A:A=C143),1)"),1)</f>
        <v>1</v>
      </c>
      <c r="K143" s="13"/>
      <c r="L143" s="4"/>
      <c r="M143" s="4"/>
      <c r="N143" s="13"/>
      <c r="O143" s="13"/>
      <c r="P143" s="13"/>
      <c r="Q143" s="13"/>
      <c r="R143" s="13"/>
      <c r="S143" s="13"/>
      <c r="T143" s="13"/>
      <c r="U143" s="13"/>
      <c r="V143" s="13"/>
      <c r="W143" s="13"/>
      <c r="X143" s="13"/>
      <c r="Y143" s="13"/>
      <c r="Z143" s="13"/>
      <c r="AA143" s="13"/>
    </row>
    <row r="144" customFormat="false" ht="13" hidden="false" customHeight="false" outlineLevel="0" collapsed="false">
      <c r="A144" s="4" t="n">
        <v>10022</v>
      </c>
      <c r="B144" s="4" t="str">
        <f aca="false" t="array" ref="B144:B144">INDEX(Productos!$A:B,MATCH($A144,Productos!$A:$A),COLUMN(B144))</f>
        <v>Sake Ciboulette</v>
      </c>
      <c r="C144" s="12" t="n">
        <v>1210</v>
      </c>
      <c r="D144" s="4" t="str">
        <f aca="false" t="array" ref="D144:D144">INDEX(Productos!$A:B,MATCH($C144,Productos!$A:$A),2)</f>
        <v>Palta cortada para roll</v>
      </c>
      <c r="E144" s="12" t="n">
        <v>1</v>
      </c>
      <c r="F144" s="12" t="s">
        <v>28</v>
      </c>
      <c r="G144" s="13" t="n">
        <f aca="false">IFERROR(__xludf.dummyfunction("filter(Productos!K:K,A144=Productos!A:A)"),1)</f>
        <v>1</v>
      </c>
      <c r="H144" s="4" t="n">
        <f aca="false">G144*E144</f>
        <v>1</v>
      </c>
      <c r="I144" s="4" t="str">
        <f aca="false">F144</f>
        <v>Unid</v>
      </c>
      <c r="J144" s="14" t="n">
        <f aca="false">IFERROR(__xludf.dummyfunction("roundup(H144/filter(Productos!I:I,Productos!A:A=C144),1)"),1)</f>
        <v>1</v>
      </c>
      <c r="K144" s="13"/>
      <c r="L144" s="4"/>
      <c r="M144" s="4"/>
      <c r="N144" s="13"/>
      <c r="O144" s="13"/>
      <c r="P144" s="13"/>
      <c r="Q144" s="13"/>
      <c r="R144" s="13"/>
      <c r="S144" s="13"/>
      <c r="T144" s="13"/>
      <c r="U144" s="13"/>
      <c r="V144" s="13"/>
      <c r="W144" s="13"/>
      <c r="X144" s="13"/>
      <c r="Y144" s="13"/>
      <c r="Z144" s="13"/>
      <c r="AA144" s="13"/>
    </row>
    <row r="145" customFormat="false" ht="13" hidden="false" customHeight="false" outlineLevel="0" collapsed="false">
      <c r="A145" s="4" t="n">
        <v>10022</v>
      </c>
      <c r="B145" s="4" t="str">
        <f aca="false" t="array" ref="B145:B145">INDEX(Productos!$A:B,MATCH($A145,Productos!$A:$A),COLUMN(B145))</f>
        <v>Sake Ciboulette</v>
      </c>
      <c r="C145" s="12" t="n">
        <v>1215</v>
      </c>
      <c r="D145" s="4" t="str">
        <f aca="false" t="array" ref="D145:D145">INDEX(Productos!$A:B,MATCH($C145,Productos!$A:$A),2)</f>
        <v>Ciboulette picado para envoltura</v>
      </c>
      <c r="E145" s="12" t="n">
        <v>1</v>
      </c>
      <c r="F145" s="12" t="s">
        <v>28</v>
      </c>
      <c r="G145" s="13" t="n">
        <f aca="false">IFERROR(__xludf.dummyfunction("filter(Productos!K:K,A145=Productos!A:A)"),1)</f>
        <v>1</v>
      </c>
      <c r="H145" s="4" t="n">
        <f aca="false">G145*E145</f>
        <v>1</v>
      </c>
      <c r="I145" s="4" t="str">
        <f aca="false">F145</f>
        <v>Unid</v>
      </c>
      <c r="J145" s="14" t="n">
        <f aca="false">IFERROR(__xludf.dummyfunction("roundup(H145/filter(Productos!I:I,Productos!A:A=C145),1)"),1)</f>
        <v>1</v>
      </c>
      <c r="K145" s="13"/>
      <c r="L145" s="4"/>
      <c r="M145" s="4"/>
      <c r="N145" s="13"/>
      <c r="O145" s="13"/>
      <c r="P145" s="13"/>
      <c r="Q145" s="13"/>
      <c r="R145" s="13"/>
      <c r="S145" s="13"/>
      <c r="T145" s="13"/>
      <c r="U145" s="13"/>
      <c r="V145" s="13"/>
      <c r="W145" s="13"/>
      <c r="X145" s="13"/>
      <c r="Y145" s="13"/>
      <c r="Z145" s="13"/>
      <c r="AA145" s="13"/>
    </row>
    <row r="146" customFormat="false" ht="13" hidden="false" customHeight="false" outlineLevel="0" collapsed="false">
      <c r="A146" s="4" t="n">
        <v>10023</v>
      </c>
      <c r="B146" s="4" t="str">
        <f aca="false" t="array" ref="B146:B146">INDEX(Productos!$A:B,MATCH($A146,Productos!$A:$A),COLUMN(B146))</f>
        <v>Maguro Ciboulette</v>
      </c>
      <c r="C146" s="12" t="n">
        <v>1201</v>
      </c>
      <c r="D146" s="4" t="str">
        <f aca="false" t="array" ref="D146:D146">INDEX(Productos!$A:B,MATCH($C146,Productos!$A:$A),2)</f>
        <v>Arroz cocido para roll</v>
      </c>
      <c r="E146" s="12" t="n">
        <v>1</v>
      </c>
      <c r="F146" s="12" t="s">
        <v>28</v>
      </c>
      <c r="G146" s="13" t="n">
        <f aca="false">IFERROR(__xludf.dummyfunction("filter(Productos!K:K,A146=Productos!A:A)"),1)</f>
        <v>1</v>
      </c>
      <c r="H146" s="4" t="n">
        <f aca="false">G146*E146</f>
        <v>1</v>
      </c>
      <c r="I146" s="4" t="str">
        <f aca="false">F146</f>
        <v>Unid</v>
      </c>
      <c r="J146" s="14" t="n">
        <f aca="false">IFERROR(__xludf.dummyfunction("roundup(H146/filter(Productos!I:I,Productos!A:A=C146),1)"),1)</f>
        <v>1</v>
      </c>
      <c r="K146" s="13"/>
      <c r="L146" s="4"/>
      <c r="M146" s="4"/>
      <c r="N146" s="13"/>
      <c r="O146" s="13"/>
      <c r="P146" s="13"/>
      <c r="Q146" s="13"/>
      <c r="R146" s="13"/>
      <c r="S146" s="13"/>
      <c r="T146" s="13"/>
      <c r="U146" s="13"/>
      <c r="V146" s="13"/>
      <c r="W146" s="13"/>
      <c r="X146" s="13"/>
      <c r="Y146" s="13"/>
      <c r="Z146" s="13"/>
      <c r="AA146" s="13"/>
    </row>
    <row r="147" customFormat="false" ht="13" hidden="false" customHeight="false" outlineLevel="0" collapsed="false">
      <c r="A147" s="4" t="n">
        <v>10023</v>
      </c>
      <c r="B147" s="4" t="str">
        <f aca="false" t="array" ref="B147:B147">INDEX(Productos!$A:B,MATCH($A147,Productos!$A:$A),COLUMN(B147))</f>
        <v>Maguro Ciboulette</v>
      </c>
      <c r="C147" s="12" t="n">
        <v>1116</v>
      </c>
      <c r="D147" s="4" t="str">
        <f aca="false" t="array" ref="D147:D147">INDEX(Productos!$A:B,MATCH($C147,Productos!$A:$A),2)</f>
        <v>Nori entero cortado para roll</v>
      </c>
      <c r="E147" s="12" t="n">
        <v>1</v>
      </c>
      <c r="F147" s="12" t="s">
        <v>28</v>
      </c>
      <c r="G147" s="13" t="n">
        <f aca="false">IFERROR(__xludf.dummyfunction("filter(Productos!K:K,A147=Productos!A:A)"),1)</f>
        <v>1</v>
      </c>
      <c r="H147" s="4" t="n">
        <f aca="false">G147*E147</f>
        <v>1</v>
      </c>
      <c r="I147" s="4" t="str">
        <f aca="false">F147</f>
        <v>Unid</v>
      </c>
      <c r="J147" s="14" t="n">
        <f aca="false">IFERROR(__xludf.dummyfunction("roundup(H147/filter(Productos!I:I,Productos!A:A=C147),1)"),1)</f>
        <v>1</v>
      </c>
      <c r="K147" s="13"/>
      <c r="L147" s="4"/>
      <c r="M147" s="4"/>
      <c r="N147" s="13"/>
      <c r="O147" s="13"/>
      <c r="P147" s="13"/>
      <c r="Q147" s="13"/>
      <c r="R147" s="13"/>
      <c r="S147" s="13"/>
      <c r="T147" s="13"/>
      <c r="U147" s="13"/>
      <c r="V147" s="13"/>
      <c r="W147" s="13"/>
      <c r="X147" s="13"/>
      <c r="Y147" s="13"/>
      <c r="Z147" s="13"/>
      <c r="AA147" s="13"/>
    </row>
    <row r="148" customFormat="false" ht="13" hidden="false" customHeight="false" outlineLevel="0" collapsed="false">
      <c r="A148" s="4" t="n">
        <v>10023</v>
      </c>
      <c r="B148" s="4" t="str">
        <f aca="false" t="array" ref="B148:B148">INDEX(Productos!$A:B,MATCH($A148,Productos!$A:$A),COLUMN(B148))</f>
        <v>Maguro Ciboulette</v>
      </c>
      <c r="C148" s="12" t="n">
        <v>1109</v>
      </c>
      <c r="D148" s="4" t="str">
        <f aca="false" t="array" ref="D148:D148">INDEX(Productos!$A:B,MATCH($C148,Productos!$A:$A),2)</f>
        <v>Atún cortado para roll</v>
      </c>
      <c r="E148" s="12" t="n">
        <v>1</v>
      </c>
      <c r="F148" s="12" t="s">
        <v>28</v>
      </c>
      <c r="G148" s="13" t="n">
        <f aca="false">IFERROR(__xludf.dummyfunction("filter(Productos!K:K,A148=Productos!A:A)"),1)</f>
        <v>1</v>
      </c>
      <c r="H148" s="4" t="n">
        <f aca="false">G148*E148</f>
        <v>1</v>
      </c>
      <c r="I148" s="4" t="str">
        <f aca="false">F148</f>
        <v>Unid</v>
      </c>
      <c r="J148" s="14" t="n">
        <f aca="false">IFERROR(__xludf.dummyfunction("roundup(H148/filter(Productos!I:I,Productos!A:A=C148),1)"),1)</f>
        <v>1</v>
      </c>
      <c r="K148" s="13"/>
      <c r="L148" s="4"/>
      <c r="M148" s="4"/>
      <c r="N148" s="13"/>
      <c r="O148" s="13"/>
      <c r="P148" s="13"/>
      <c r="Q148" s="13"/>
      <c r="R148" s="13"/>
      <c r="S148" s="13"/>
      <c r="T148" s="13"/>
      <c r="U148" s="13"/>
      <c r="V148" s="13"/>
      <c r="W148" s="13"/>
      <c r="X148" s="13"/>
      <c r="Y148" s="13"/>
      <c r="Z148" s="13"/>
      <c r="AA148" s="13"/>
    </row>
    <row r="149" customFormat="false" ht="13" hidden="false" customHeight="false" outlineLevel="0" collapsed="false">
      <c r="A149" s="4" t="n">
        <v>10023</v>
      </c>
      <c r="B149" s="4" t="str">
        <f aca="false" t="array" ref="B149:B149">INDEX(Productos!$A:B,MATCH($A149,Productos!$A:$A),COLUMN(B149))</f>
        <v>Maguro Ciboulette</v>
      </c>
      <c r="C149" s="12" t="n">
        <v>1112</v>
      </c>
      <c r="D149" s="4" t="str">
        <f aca="false" t="array" ref="D149:D149">INDEX(Productos!$A:B,MATCH($C149,Productos!$A:$A),2)</f>
        <v>Queso crema para roll</v>
      </c>
      <c r="E149" s="12" t="n">
        <v>1</v>
      </c>
      <c r="F149" s="12" t="s">
        <v>28</v>
      </c>
      <c r="G149" s="13" t="n">
        <f aca="false">IFERROR(__xludf.dummyfunction("filter(Productos!K:K,A149=Productos!A:A)"),1)</f>
        <v>1</v>
      </c>
      <c r="H149" s="4" t="n">
        <f aca="false">G149*E149</f>
        <v>1</v>
      </c>
      <c r="I149" s="4" t="str">
        <f aca="false">F149</f>
        <v>Unid</v>
      </c>
      <c r="J149" s="14" t="n">
        <f aca="false">IFERROR(__xludf.dummyfunction("roundup(H149/filter(Productos!I:I,Productos!A:A=C149),1)"),1)</f>
        <v>1</v>
      </c>
      <c r="K149" s="13"/>
      <c r="L149" s="4"/>
      <c r="M149" s="4"/>
      <c r="N149" s="13"/>
      <c r="O149" s="13"/>
      <c r="P149" s="13"/>
      <c r="Q149" s="13"/>
      <c r="R149" s="13"/>
      <c r="S149" s="13"/>
      <c r="T149" s="13"/>
      <c r="U149" s="13"/>
      <c r="V149" s="13"/>
      <c r="W149" s="13"/>
      <c r="X149" s="13"/>
      <c r="Y149" s="13"/>
      <c r="Z149" s="13"/>
      <c r="AA149" s="13"/>
    </row>
    <row r="150" customFormat="false" ht="13" hidden="false" customHeight="false" outlineLevel="0" collapsed="false">
      <c r="A150" s="4" t="n">
        <v>10023</v>
      </c>
      <c r="B150" s="4" t="str">
        <f aca="false" t="array" ref="B150:B150">INDEX(Productos!$A:B,MATCH($A150,Productos!$A:$A),COLUMN(B150))</f>
        <v>Maguro Ciboulette</v>
      </c>
      <c r="C150" s="12" t="n">
        <v>1210</v>
      </c>
      <c r="D150" s="4" t="str">
        <f aca="false" t="array" ref="D150:D150">INDEX(Productos!$A:B,MATCH($C150,Productos!$A:$A),2)</f>
        <v>Palta cortada para roll</v>
      </c>
      <c r="E150" s="12" t="n">
        <v>1</v>
      </c>
      <c r="F150" s="12" t="s">
        <v>28</v>
      </c>
      <c r="G150" s="13" t="n">
        <f aca="false">IFERROR(__xludf.dummyfunction("filter(Productos!K:K,A150=Productos!A:A)"),1)</f>
        <v>1</v>
      </c>
      <c r="H150" s="4" t="n">
        <f aca="false">G150*E150</f>
        <v>1</v>
      </c>
      <c r="I150" s="4" t="str">
        <f aca="false">F150</f>
        <v>Unid</v>
      </c>
      <c r="J150" s="14" t="n">
        <f aca="false">IFERROR(__xludf.dummyfunction("roundup(H150/filter(Productos!I:I,Productos!A:A=C150),1)"),1)</f>
        <v>1</v>
      </c>
      <c r="K150" s="13"/>
      <c r="L150" s="4"/>
      <c r="M150" s="4"/>
      <c r="N150" s="13"/>
      <c r="O150" s="13"/>
      <c r="P150" s="13"/>
      <c r="Q150" s="13"/>
      <c r="R150" s="13"/>
      <c r="S150" s="13"/>
      <c r="T150" s="13"/>
      <c r="U150" s="13"/>
      <c r="V150" s="13"/>
      <c r="W150" s="13"/>
      <c r="X150" s="13"/>
      <c r="Y150" s="13"/>
      <c r="Z150" s="13"/>
      <c r="AA150" s="13"/>
    </row>
    <row r="151" customFormat="false" ht="13" hidden="false" customHeight="false" outlineLevel="0" collapsed="false">
      <c r="A151" s="4" t="n">
        <v>10023</v>
      </c>
      <c r="B151" s="4" t="str">
        <f aca="false" t="array" ref="B151:B151">INDEX(Productos!$A:B,MATCH($A151,Productos!$A:$A),COLUMN(B151))</f>
        <v>Maguro Ciboulette</v>
      </c>
      <c r="C151" s="12" t="n">
        <v>1215</v>
      </c>
      <c r="D151" s="4" t="str">
        <f aca="false" t="array" ref="D151:D151">INDEX(Productos!$A:B,MATCH($C151,Productos!$A:$A),2)</f>
        <v>Ciboulette picado para envoltura</v>
      </c>
      <c r="E151" s="12" t="n">
        <v>1</v>
      </c>
      <c r="F151" s="12" t="s">
        <v>28</v>
      </c>
      <c r="G151" s="13" t="n">
        <f aca="false">IFERROR(__xludf.dummyfunction("filter(Productos!K:K,A151=Productos!A:A)"),1)</f>
        <v>1</v>
      </c>
      <c r="H151" s="4" t="n">
        <f aca="false">G151*E151</f>
        <v>1</v>
      </c>
      <c r="I151" s="4" t="str">
        <f aca="false">F151</f>
        <v>Unid</v>
      </c>
      <c r="J151" s="14" t="n">
        <f aca="false">IFERROR(__xludf.dummyfunction("roundup(H151/filter(Productos!I:I,Productos!A:A=C151),1)"),1)</f>
        <v>1</v>
      </c>
      <c r="K151" s="13"/>
      <c r="L151" s="4"/>
      <c r="M151" s="4"/>
      <c r="N151" s="13"/>
      <c r="O151" s="13"/>
      <c r="P151" s="13"/>
      <c r="Q151" s="13"/>
      <c r="R151" s="13"/>
      <c r="S151" s="13"/>
      <c r="T151" s="13"/>
      <c r="U151" s="13"/>
      <c r="V151" s="13"/>
      <c r="W151" s="13"/>
      <c r="X151" s="13"/>
      <c r="Y151" s="13"/>
      <c r="Z151" s="13"/>
      <c r="AA151" s="13"/>
    </row>
    <row r="152" customFormat="false" ht="13" hidden="false" customHeight="false" outlineLevel="0" collapsed="false">
      <c r="A152" s="4" t="n">
        <v>10024</v>
      </c>
      <c r="B152" s="4" t="str">
        <f aca="false" t="array" ref="B152:B152">INDEX(Productos!$A:B,MATCH($A152,Productos!$A:$A),COLUMN(B152))</f>
        <v>Vegan Sésamo</v>
      </c>
      <c r="C152" s="12" t="n">
        <v>1201</v>
      </c>
      <c r="D152" s="4" t="str">
        <f aca="false" t="array" ref="D152:D152">INDEX(Productos!$A:B,MATCH($C152,Productos!$A:$A),2)</f>
        <v>Arroz cocido para roll</v>
      </c>
      <c r="E152" s="12" t="n">
        <v>1</v>
      </c>
      <c r="F152" s="12" t="s">
        <v>28</v>
      </c>
      <c r="G152" s="13" t="n">
        <f aca="false">IFERROR(__xludf.dummyfunction("filter(Productos!K:K,A152=Productos!A:A)"),1)</f>
        <v>1</v>
      </c>
      <c r="H152" s="4" t="n">
        <f aca="false">G152*E152</f>
        <v>1</v>
      </c>
      <c r="I152" s="4" t="str">
        <f aca="false">F152</f>
        <v>Unid</v>
      </c>
      <c r="J152" s="14" t="n">
        <f aca="false">IFERROR(__xludf.dummyfunction("roundup(H152/filter(Productos!I:I,Productos!A:A=C152),1)"),1)</f>
        <v>1</v>
      </c>
      <c r="K152" s="13"/>
      <c r="L152" s="4"/>
      <c r="M152" s="4"/>
      <c r="N152" s="13"/>
      <c r="O152" s="13"/>
      <c r="P152" s="13"/>
      <c r="Q152" s="13"/>
      <c r="R152" s="13"/>
      <c r="S152" s="13"/>
      <c r="T152" s="13"/>
      <c r="U152" s="13"/>
      <c r="V152" s="13"/>
      <c r="W152" s="13"/>
      <c r="X152" s="13"/>
      <c r="Y152" s="13"/>
      <c r="Z152" s="13"/>
      <c r="AA152" s="13"/>
    </row>
    <row r="153" customFormat="false" ht="13" hidden="false" customHeight="false" outlineLevel="0" collapsed="false">
      <c r="A153" s="4" t="n">
        <v>10024</v>
      </c>
      <c r="B153" s="4" t="str">
        <f aca="false" t="array" ref="B153:B153">INDEX(Productos!$A:B,MATCH($A153,Productos!$A:$A),COLUMN(B153))</f>
        <v>Vegan Sésamo</v>
      </c>
      <c r="C153" s="12" t="n">
        <v>1116</v>
      </c>
      <c r="D153" s="4" t="str">
        <f aca="false" t="array" ref="D153:D153">INDEX(Productos!$A:B,MATCH($C153,Productos!$A:$A),2)</f>
        <v>Nori entero cortado para roll</v>
      </c>
      <c r="E153" s="12" t="n">
        <v>1</v>
      </c>
      <c r="F153" s="12" t="s">
        <v>28</v>
      </c>
      <c r="G153" s="13" t="n">
        <f aca="false">IFERROR(__xludf.dummyfunction("filter(Productos!K:K,A153=Productos!A:A)"),1)</f>
        <v>1</v>
      </c>
      <c r="H153" s="4" t="n">
        <f aca="false">G153*E153</f>
        <v>1</v>
      </c>
      <c r="I153" s="4" t="str">
        <f aca="false">F153</f>
        <v>Unid</v>
      </c>
      <c r="J153" s="14" t="n">
        <f aca="false">IFERROR(__xludf.dummyfunction("roundup(H153/filter(Productos!I:I,Productos!A:A=C153),1)"),1)</f>
        <v>1</v>
      </c>
      <c r="K153" s="13"/>
      <c r="L153" s="4"/>
      <c r="M153" s="4"/>
      <c r="N153" s="13"/>
      <c r="O153" s="13"/>
      <c r="P153" s="13"/>
      <c r="Q153" s="13"/>
      <c r="R153" s="13"/>
      <c r="S153" s="13"/>
      <c r="T153" s="13"/>
      <c r="U153" s="13"/>
      <c r="V153" s="13"/>
      <c r="W153" s="13"/>
      <c r="X153" s="13"/>
      <c r="Y153" s="13"/>
      <c r="Z153" s="13"/>
      <c r="AA153" s="13"/>
    </row>
    <row r="154" customFormat="false" ht="13" hidden="false" customHeight="false" outlineLevel="0" collapsed="false">
      <c r="A154" s="4" t="n">
        <v>10024</v>
      </c>
      <c r="B154" s="4" t="str">
        <f aca="false" t="array" ref="B154:B154">INDEX(Productos!$A:B,MATCH($A154,Productos!$A:$A),COLUMN(B154))</f>
        <v>Vegan Sésamo</v>
      </c>
      <c r="C154" s="12" t="n">
        <v>1210</v>
      </c>
      <c r="D154" s="4" t="str">
        <f aca="false" t="array" ref="D154:D154">INDEX(Productos!$A:B,MATCH($C154,Productos!$A:$A),2)</f>
        <v>Palta cortada para roll</v>
      </c>
      <c r="E154" s="12" t="n">
        <v>1</v>
      </c>
      <c r="F154" s="12" t="s">
        <v>28</v>
      </c>
      <c r="G154" s="13" t="n">
        <f aca="false">IFERROR(__xludf.dummyfunction("filter(Productos!K:K,A154=Productos!A:A)"),1)</f>
        <v>1</v>
      </c>
      <c r="H154" s="4" t="n">
        <f aca="false">G154*E154</f>
        <v>1</v>
      </c>
      <c r="I154" s="4" t="str">
        <f aca="false">F154</f>
        <v>Unid</v>
      </c>
      <c r="J154" s="14" t="n">
        <f aca="false">IFERROR(__xludf.dummyfunction("roundup(H154/filter(Productos!I:I,Productos!A:A=C154),1)"),1)</f>
        <v>1</v>
      </c>
      <c r="K154" s="13"/>
      <c r="L154" s="4"/>
      <c r="M154" s="4"/>
      <c r="N154" s="13"/>
      <c r="O154" s="13"/>
      <c r="P154" s="13"/>
      <c r="Q154" s="13"/>
      <c r="R154" s="13"/>
      <c r="S154" s="13"/>
      <c r="T154" s="13"/>
      <c r="U154" s="13"/>
      <c r="V154" s="13"/>
      <c r="W154" s="13"/>
      <c r="X154" s="13"/>
      <c r="Y154" s="13"/>
      <c r="Z154" s="13"/>
      <c r="AA154" s="13"/>
    </row>
    <row r="155" customFormat="false" ht="13" hidden="false" customHeight="false" outlineLevel="0" collapsed="false">
      <c r="A155" s="4" t="n">
        <v>10024</v>
      </c>
      <c r="B155" s="4" t="str">
        <f aca="false" t="array" ref="B155:B155">INDEX(Productos!$A:B,MATCH($A155,Productos!$A:$A),COLUMN(B155))</f>
        <v>Vegan Sésamo</v>
      </c>
      <c r="C155" s="12" t="n">
        <v>1114</v>
      </c>
      <c r="D155" s="4" t="str">
        <f aca="false" t="array" ref="D155:D155">INDEX(Productos!$A:B,MATCH($C155,Productos!$A:$A),2)</f>
        <v>Cebollín cortado para roll</v>
      </c>
      <c r="E155" s="12" t="n">
        <v>1</v>
      </c>
      <c r="F155" s="12" t="s">
        <v>28</v>
      </c>
      <c r="G155" s="13" t="n">
        <f aca="false">IFERROR(__xludf.dummyfunction("filter(Productos!K:K,A155=Productos!A:A)"),1)</f>
        <v>1</v>
      </c>
      <c r="H155" s="4" t="n">
        <f aca="false">G155*E155</f>
        <v>1</v>
      </c>
      <c r="I155" s="4" t="str">
        <f aca="false">F155</f>
        <v>Unid</v>
      </c>
      <c r="J155" s="14" t="n">
        <f aca="false">IFERROR(__xludf.dummyfunction("roundup(H155/filter(Productos!I:I,Productos!A:A=C155),1)"),1)</f>
        <v>1</v>
      </c>
      <c r="K155" s="13"/>
      <c r="L155" s="4"/>
      <c r="M155" s="4"/>
      <c r="N155" s="13"/>
      <c r="O155" s="13"/>
      <c r="P155" s="13"/>
      <c r="Q155" s="13"/>
      <c r="R155" s="13"/>
      <c r="S155" s="13"/>
      <c r="T155" s="13"/>
      <c r="U155" s="13"/>
      <c r="V155" s="13"/>
      <c r="W155" s="13"/>
      <c r="X155" s="13"/>
      <c r="Y155" s="13"/>
      <c r="Z155" s="13"/>
      <c r="AA155" s="13"/>
    </row>
    <row r="156" customFormat="false" ht="13" hidden="false" customHeight="false" outlineLevel="0" collapsed="false">
      <c r="A156" s="4" t="n">
        <v>10024</v>
      </c>
      <c r="B156" s="4" t="str">
        <f aca="false" t="array" ref="B156:B156">INDEX(Productos!$A:B,MATCH($A156,Productos!$A:$A),COLUMN(B156))</f>
        <v>Vegan Sésamo</v>
      </c>
      <c r="C156" s="12" t="n">
        <v>1115</v>
      </c>
      <c r="D156" s="4" t="str">
        <f aca="false" t="array" ref="D156:D156">INDEX(Productos!$A:B,MATCH($C156,Productos!$A:$A),2)</f>
        <v>Ciboulette picado para roll</v>
      </c>
      <c r="E156" s="12" t="n">
        <v>1</v>
      </c>
      <c r="F156" s="12" t="s">
        <v>28</v>
      </c>
      <c r="G156" s="13" t="n">
        <f aca="false">IFERROR(__xludf.dummyfunction("filter(Productos!K:K,A156=Productos!A:A)"),1)</f>
        <v>1</v>
      </c>
      <c r="H156" s="4" t="n">
        <f aca="false">G156*E156</f>
        <v>1</v>
      </c>
      <c r="I156" s="4" t="str">
        <f aca="false">F156</f>
        <v>Unid</v>
      </c>
      <c r="J156" s="14" t="n">
        <f aca="false">IFERROR(__xludf.dummyfunction("roundup(H156/filter(Productos!I:I,Productos!A:A=C156),1)"),1)</f>
        <v>1</v>
      </c>
      <c r="K156" s="13"/>
      <c r="L156" s="4"/>
      <c r="M156" s="4"/>
      <c r="N156" s="13"/>
      <c r="O156" s="13"/>
      <c r="P156" s="13"/>
      <c r="Q156" s="13"/>
      <c r="R156" s="13"/>
      <c r="S156" s="13"/>
      <c r="T156" s="13"/>
      <c r="U156" s="13"/>
      <c r="V156" s="13"/>
      <c r="W156" s="13"/>
      <c r="X156" s="13"/>
      <c r="Y156" s="13"/>
      <c r="Z156" s="13"/>
      <c r="AA156" s="13"/>
    </row>
    <row r="157" customFormat="false" ht="13" hidden="false" customHeight="false" outlineLevel="0" collapsed="false">
      <c r="A157" s="4" t="n">
        <v>10024</v>
      </c>
      <c r="B157" s="4" t="str">
        <f aca="false" t="array" ref="B157:B157">INDEX(Productos!$A:B,MATCH($A157,Productos!$A:$A),COLUMN(B157))</f>
        <v>Vegan Sésamo</v>
      </c>
      <c r="C157" s="12" t="n">
        <v>1211</v>
      </c>
      <c r="D157" s="4" t="str">
        <f aca="false" t="array" ref="D157:D157">INDEX(Productos!$A:B,MATCH($C157,Productos!$A:$A),2)</f>
        <v>Sésamo tostado para envoltura</v>
      </c>
      <c r="E157" s="12" t="n">
        <v>1</v>
      </c>
      <c r="F157" s="12" t="s">
        <v>28</v>
      </c>
      <c r="G157" s="13" t="n">
        <f aca="false">IFERROR(__xludf.dummyfunction("filter(Productos!K:K,A157=Productos!A:A)"),1)</f>
        <v>1</v>
      </c>
      <c r="H157" s="4" t="n">
        <f aca="false">G157*E157</f>
        <v>1</v>
      </c>
      <c r="I157" s="4" t="str">
        <f aca="false">F157</f>
        <v>Unid</v>
      </c>
      <c r="J157" s="14" t="n">
        <f aca="false">IFERROR(__xludf.dummyfunction("roundup(H157/filter(Productos!I:I,Productos!A:A=C157),1)"),1)</f>
        <v>1</v>
      </c>
      <c r="K157" s="13"/>
      <c r="L157" s="4"/>
      <c r="M157" s="4"/>
      <c r="N157" s="13"/>
      <c r="O157" s="13"/>
      <c r="P157" s="13"/>
      <c r="Q157" s="13"/>
      <c r="R157" s="13"/>
      <c r="S157" s="13"/>
      <c r="T157" s="13"/>
      <c r="U157" s="13"/>
      <c r="V157" s="13"/>
      <c r="W157" s="13"/>
      <c r="X157" s="13"/>
      <c r="Y157" s="13"/>
      <c r="Z157" s="13"/>
      <c r="AA157" s="13"/>
    </row>
    <row r="158" customFormat="false" ht="13" hidden="false" customHeight="false" outlineLevel="0" collapsed="false">
      <c r="A158" s="4" t="n">
        <v>10025</v>
      </c>
      <c r="B158" s="4" t="str">
        <f aca="false" t="array" ref="B158:B158">INDEX(Productos!$A:B,MATCH($A158,Productos!$A:$A),COLUMN(B158))</f>
        <v>Vegan Masago</v>
      </c>
      <c r="C158" s="12" t="n">
        <v>1201</v>
      </c>
      <c r="D158" s="4" t="str">
        <f aca="false" t="array" ref="D158:D158">INDEX(Productos!$A:B,MATCH($C158,Productos!$A:$A),2)</f>
        <v>Arroz cocido para roll</v>
      </c>
      <c r="E158" s="12" t="n">
        <v>1</v>
      </c>
      <c r="F158" s="12" t="s">
        <v>28</v>
      </c>
      <c r="G158" s="13" t="n">
        <f aca="false">IFERROR(__xludf.dummyfunction("filter(Productos!K:K,A158=Productos!A:A)"),1)</f>
        <v>1</v>
      </c>
      <c r="H158" s="4" t="n">
        <f aca="false">G158*E158</f>
        <v>1</v>
      </c>
      <c r="I158" s="4" t="str">
        <f aca="false">F158</f>
        <v>Unid</v>
      </c>
      <c r="J158" s="14" t="n">
        <f aca="false">IFERROR(__xludf.dummyfunction("roundup(H158/filter(Productos!I:I,Productos!A:A=C158),1)"),1)</f>
        <v>1</v>
      </c>
      <c r="K158" s="13"/>
      <c r="L158" s="4"/>
      <c r="M158" s="4"/>
      <c r="N158" s="13"/>
      <c r="O158" s="13"/>
      <c r="P158" s="13"/>
      <c r="Q158" s="13"/>
      <c r="R158" s="13"/>
      <c r="S158" s="13"/>
      <c r="T158" s="13"/>
      <c r="U158" s="13"/>
      <c r="V158" s="13"/>
      <c r="W158" s="13"/>
      <c r="X158" s="13"/>
      <c r="Y158" s="13"/>
      <c r="Z158" s="13"/>
      <c r="AA158" s="13"/>
    </row>
    <row r="159" customFormat="false" ht="13" hidden="false" customHeight="false" outlineLevel="0" collapsed="false">
      <c r="A159" s="4" t="n">
        <v>10025</v>
      </c>
      <c r="B159" s="4" t="str">
        <f aca="false" t="array" ref="B159:B159">INDEX(Productos!$A:B,MATCH($A159,Productos!$A:$A),COLUMN(B159))</f>
        <v>Vegan Masago</v>
      </c>
      <c r="C159" s="12" t="n">
        <v>1116</v>
      </c>
      <c r="D159" s="4" t="str">
        <f aca="false" t="array" ref="D159:D159">INDEX(Productos!$A:B,MATCH($C159,Productos!$A:$A),2)</f>
        <v>Nori entero cortado para roll</v>
      </c>
      <c r="E159" s="12" t="n">
        <v>1</v>
      </c>
      <c r="F159" s="12" t="s">
        <v>28</v>
      </c>
      <c r="G159" s="13" t="n">
        <f aca="false">IFERROR(__xludf.dummyfunction("filter(Productos!K:K,A159=Productos!A:A)"),1)</f>
        <v>1</v>
      </c>
      <c r="H159" s="4" t="n">
        <f aca="false">G159*E159</f>
        <v>1</v>
      </c>
      <c r="I159" s="4" t="str">
        <f aca="false">F159</f>
        <v>Unid</v>
      </c>
      <c r="J159" s="14" t="n">
        <f aca="false">IFERROR(__xludf.dummyfunction("roundup(H159/filter(Productos!I:I,Productos!A:A=C159),1)"),1)</f>
        <v>1</v>
      </c>
      <c r="K159" s="13"/>
      <c r="L159" s="4"/>
      <c r="M159" s="4"/>
      <c r="N159" s="13"/>
      <c r="O159" s="13"/>
      <c r="P159" s="13"/>
      <c r="Q159" s="13"/>
      <c r="R159" s="13"/>
      <c r="S159" s="13"/>
      <c r="T159" s="13"/>
      <c r="U159" s="13"/>
      <c r="V159" s="13"/>
      <c r="W159" s="13"/>
      <c r="X159" s="13"/>
      <c r="Y159" s="13"/>
      <c r="Z159" s="13"/>
      <c r="AA159" s="13"/>
    </row>
    <row r="160" customFormat="false" ht="13" hidden="false" customHeight="false" outlineLevel="0" collapsed="false">
      <c r="A160" s="4" t="n">
        <v>10025</v>
      </c>
      <c r="B160" s="4" t="str">
        <f aca="false" t="array" ref="B160:B160">INDEX(Productos!$A:B,MATCH($A160,Productos!$A:$A),COLUMN(B160))</f>
        <v>Vegan Masago</v>
      </c>
      <c r="C160" s="12" t="n">
        <v>1210</v>
      </c>
      <c r="D160" s="4" t="str">
        <f aca="false" t="array" ref="D160:D160">INDEX(Productos!$A:B,MATCH($C160,Productos!$A:$A),2)</f>
        <v>Palta cortada para roll</v>
      </c>
      <c r="E160" s="12" t="n">
        <v>1</v>
      </c>
      <c r="F160" s="12" t="s">
        <v>28</v>
      </c>
      <c r="G160" s="13" t="n">
        <f aca="false">IFERROR(__xludf.dummyfunction("filter(Productos!K:K,A160=Productos!A:A)"),1)</f>
        <v>1</v>
      </c>
      <c r="H160" s="4" t="n">
        <f aca="false">G160*E160</f>
        <v>1</v>
      </c>
      <c r="I160" s="4" t="str">
        <f aca="false">F160</f>
        <v>Unid</v>
      </c>
      <c r="J160" s="14" t="n">
        <f aca="false">IFERROR(__xludf.dummyfunction("roundup(H160/filter(Productos!I:I,Productos!A:A=C160),1)"),1)</f>
        <v>1</v>
      </c>
      <c r="K160" s="13"/>
      <c r="L160" s="4"/>
      <c r="M160" s="4"/>
      <c r="N160" s="13"/>
      <c r="O160" s="13"/>
      <c r="P160" s="13"/>
      <c r="Q160" s="13"/>
      <c r="R160" s="13"/>
      <c r="S160" s="13"/>
      <c r="T160" s="13"/>
      <c r="U160" s="13"/>
      <c r="V160" s="13"/>
      <c r="W160" s="13"/>
      <c r="X160" s="13"/>
      <c r="Y160" s="13"/>
      <c r="Z160" s="13"/>
      <c r="AA160" s="13"/>
    </row>
    <row r="161" customFormat="false" ht="13" hidden="false" customHeight="false" outlineLevel="0" collapsed="false">
      <c r="A161" s="4" t="n">
        <v>10025</v>
      </c>
      <c r="B161" s="4" t="str">
        <f aca="false" t="array" ref="B161:B161">INDEX(Productos!$A:B,MATCH($A161,Productos!$A:$A),COLUMN(B161))</f>
        <v>Vegan Masago</v>
      </c>
      <c r="C161" s="12" t="n">
        <v>1114</v>
      </c>
      <c r="D161" s="4" t="str">
        <f aca="false" t="array" ref="D161:D161">INDEX(Productos!$A:B,MATCH($C161,Productos!$A:$A),2)</f>
        <v>Cebollín cortado para roll</v>
      </c>
      <c r="E161" s="12" t="n">
        <v>1</v>
      </c>
      <c r="F161" s="12" t="s">
        <v>28</v>
      </c>
      <c r="G161" s="13" t="n">
        <f aca="false">IFERROR(__xludf.dummyfunction("filter(Productos!K:K,A161=Productos!A:A)"),1)</f>
        <v>1</v>
      </c>
      <c r="H161" s="4" t="n">
        <f aca="false">G161*E161</f>
        <v>1</v>
      </c>
      <c r="I161" s="4" t="str">
        <f aca="false">F161</f>
        <v>Unid</v>
      </c>
      <c r="J161" s="14" t="n">
        <f aca="false">IFERROR(__xludf.dummyfunction("roundup(H161/filter(Productos!I:I,Productos!A:A=C161),1)"),1)</f>
        <v>1</v>
      </c>
      <c r="K161" s="13"/>
      <c r="L161" s="4"/>
      <c r="M161" s="4"/>
      <c r="N161" s="13"/>
      <c r="O161" s="13"/>
      <c r="P161" s="13"/>
      <c r="Q161" s="13"/>
      <c r="R161" s="13"/>
      <c r="S161" s="13"/>
      <c r="T161" s="13"/>
      <c r="U161" s="13"/>
      <c r="V161" s="13"/>
      <c r="W161" s="13"/>
      <c r="X161" s="13"/>
      <c r="Y161" s="13"/>
      <c r="Z161" s="13"/>
      <c r="AA161" s="13"/>
    </row>
    <row r="162" customFormat="false" ht="13" hidden="false" customHeight="false" outlineLevel="0" collapsed="false">
      <c r="A162" s="4" t="n">
        <v>10025</v>
      </c>
      <c r="B162" s="4" t="str">
        <f aca="false" t="array" ref="B162:B162">INDEX(Productos!$A:B,MATCH($A162,Productos!$A:$A),COLUMN(B162))</f>
        <v>Vegan Masago</v>
      </c>
      <c r="C162" s="12" t="n">
        <v>1115</v>
      </c>
      <c r="D162" s="4" t="str">
        <f aca="false" t="array" ref="D162:D162">INDEX(Productos!$A:B,MATCH($C162,Productos!$A:$A),2)</f>
        <v>Ciboulette picado para roll</v>
      </c>
      <c r="E162" s="12" t="n">
        <v>1</v>
      </c>
      <c r="F162" s="12" t="s">
        <v>28</v>
      </c>
      <c r="G162" s="13" t="n">
        <f aca="false">IFERROR(__xludf.dummyfunction("filter(Productos!K:K,A162=Productos!A:A)"),1)</f>
        <v>1</v>
      </c>
      <c r="H162" s="4" t="n">
        <f aca="false">G162*E162</f>
        <v>1</v>
      </c>
      <c r="I162" s="4" t="str">
        <f aca="false">F162</f>
        <v>Unid</v>
      </c>
      <c r="J162" s="14" t="n">
        <f aca="false">IFERROR(__xludf.dummyfunction("roundup(H162/filter(Productos!I:I,Productos!A:A=C162),1)"),1)</f>
        <v>1</v>
      </c>
      <c r="K162" s="13"/>
      <c r="L162" s="4"/>
      <c r="M162" s="4"/>
      <c r="N162" s="13"/>
      <c r="O162" s="13"/>
      <c r="P162" s="13"/>
      <c r="Q162" s="13"/>
      <c r="R162" s="13"/>
      <c r="S162" s="13"/>
      <c r="T162" s="13"/>
      <c r="U162" s="13"/>
      <c r="V162" s="13"/>
      <c r="W162" s="13"/>
      <c r="X162" s="13"/>
      <c r="Y162" s="13"/>
      <c r="Z162" s="13"/>
      <c r="AA162" s="13"/>
    </row>
    <row r="163" customFormat="false" ht="13" hidden="false" customHeight="false" outlineLevel="0" collapsed="false">
      <c r="A163" s="4" t="n">
        <v>10025</v>
      </c>
      <c r="B163" s="4" t="str">
        <f aca="false" t="array" ref="B163:B163">INDEX(Productos!$A:B,MATCH($A163,Productos!$A:$A),COLUMN(B163))</f>
        <v>Vegan Masago</v>
      </c>
      <c r="C163" s="12" t="n">
        <v>1013</v>
      </c>
      <c r="D163" s="4" t="str">
        <f aca="false" t="array" ref="D163:D163">INDEX(Productos!$A:B,MATCH($C163,Productos!$A:$A),2)</f>
        <v>Masago</v>
      </c>
      <c r="E163" s="12" t="n">
        <v>0.05</v>
      </c>
      <c r="F163" s="16" t="s">
        <v>17</v>
      </c>
      <c r="G163" s="13" t="n">
        <f aca="false">IFERROR(__xludf.dummyfunction("filter(Productos!K:K,A163=Productos!A:A)"),1)</f>
        <v>1</v>
      </c>
      <c r="H163" s="4" t="n">
        <f aca="false">G163*E163</f>
        <v>0.05</v>
      </c>
      <c r="I163" s="4" t="str">
        <f aca="false">F163</f>
        <v>Kg</v>
      </c>
      <c r="J163" s="14" t="n">
        <f aca="false">IFERROR(__xludf.dummyfunction("roundup(H163/filter(Productos!I:I,Productos!A:A=C163),1)"),5)</f>
        <v>5</v>
      </c>
      <c r="K163" s="13"/>
      <c r="L163" s="4"/>
      <c r="M163" s="4"/>
      <c r="N163" s="13"/>
      <c r="O163" s="13"/>
      <c r="P163" s="13"/>
      <c r="Q163" s="13"/>
      <c r="R163" s="13"/>
      <c r="S163" s="13"/>
      <c r="T163" s="13"/>
      <c r="U163" s="13"/>
      <c r="V163" s="13"/>
      <c r="W163" s="13"/>
      <c r="X163" s="13"/>
      <c r="Y163" s="13"/>
      <c r="Z163" s="13"/>
      <c r="AA163" s="13"/>
    </row>
    <row r="164" customFormat="false" ht="13" hidden="false" customHeight="false" outlineLevel="0" collapsed="false">
      <c r="A164" s="4" t="n">
        <v>20001</v>
      </c>
      <c r="B164" s="4" t="str">
        <f aca="false" t="array" ref="B164:B164">INDEX(Productos!$A:B,MATCH($A164,Productos!$A:$A),COLUMN(B164))</f>
        <v>Nigiri Avocado</v>
      </c>
      <c r="C164" s="12" t="n">
        <v>1301</v>
      </c>
      <c r="D164" s="4" t="str">
        <f aca="false" t="array" ref="D164:D164">INDEX(Productos!$A:B,MATCH($C164,Productos!$A:$A),2)</f>
        <v>Arroz cocido para nigiri</v>
      </c>
      <c r="E164" s="12" t="n">
        <v>1</v>
      </c>
      <c r="F164" s="12" t="s">
        <v>28</v>
      </c>
      <c r="G164" s="13" t="n">
        <f aca="false">IFERROR(__xludf.dummyfunction("filter(Productos!K:K,A164=Productos!A:A)"),1)</f>
        <v>1</v>
      </c>
      <c r="H164" s="4" t="n">
        <f aca="false">G164*E164</f>
        <v>1</v>
      </c>
      <c r="I164" s="4" t="str">
        <f aca="false">F164</f>
        <v>Unid</v>
      </c>
      <c r="J164" s="14" t="n">
        <f aca="false">IFERROR(__xludf.dummyfunction("roundup(H164/filter(Productos!I:I,Productos!A:A=C164),1)"),1)</f>
        <v>1</v>
      </c>
      <c r="K164" s="13"/>
      <c r="L164" s="4"/>
      <c r="M164" s="4"/>
      <c r="N164" s="13"/>
      <c r="O164" s="13"/>
      <c r="P164" s="13"/>
      <c r="Q164" s="13"/>
      <c r="R164" s="13"/>
      <c r="S164" s="13"/>
      <c r="T164" s="13"/>
      <c r="U164" s="13"/>
      <c r="V164" s="13"/>
      <c r="W164" s="13"/>
      <c r="X164" s="13"/>
      <c r="Y164" s="13"/>
      <c r="Z164" s="13"/>
      <c r="AA164" s="13"/>
    </row>
    <row r="165" customFormat="false" ht="13" hidden="false" customHeight="false" outlineLevel="0" collapsed="false">
      <c r="A165" s="4" t="n">
        <v>20001</v>
      </c>
      <c r="B165" s="4" t="str">
        <f aca="false" t="array" ref="B165:B165">INDEX(Productos!$A:B,MATCH($A165,Productos!$A:$A),COLUMN(B165))</f>
        <v>Nigiri Avocado</v>
      </c>
      <c r="C165" s="12" t="n">
        <v>1207</v>
      </c>
      <c r="D165" s="4" t="str">
        <f aca="false" t="array" ref="D165:D165">INDEX(Productos!$A:B,MATCH($C165,Productos!$A:$A),2)</f>
        <v>Salmón cortado para nigiri</v>
      </c>
      <c r="E165" s="12" t="n">
        <v>1</v>
      </c>
      <c r="F165" s="12" t="s">
        <v>28</v>
      </c>
      <c r="G165" s="13" t="n">
        <f aca="false">IFERROR(__xludf.dummyfunction("filter(Productos!K:K,A165=Productos!A:A)"),1)</f>
        <v>1</v>
      </c>
      <c r="H165" s="4" t="n">
        <f aca="false">G165*E165</f>
        <v>1</v>
      </c>
      <c r="I165" s="4" t="str">
        <f aca="false">F165</f>
        <v>Unid</v>
      </c>
      <c r="J165" s="14" t="n">
        <f aca="false">IFERROR(__xludf.dummyfunction("roundup(H165/filter(Productos!I:I,Productos!A:A=C165),1)"),1)</f>
        <v>1</v>
      </c>
      <c r="K165" s="13"/>
      <c r="L165" s="4"/>
      <c r="M165" s="4"/>
      <c r="N165" s="13"/>
      <c r="O165" s="13"/>
      <c r="P165" s="13"/>
      <c r="Q165" s="13"/>
      <c r="R165" s="13"/>
      <c r="S165" s="13"/>
      <c r="T165" s="13"/>
      <c r="U165" s="13"/>
      <c r="V165" s="13"/>
      <c r="W165" s="13"/>
      <c r="X165" s="13"/>
      <c r="Y165" s="13"/>
      <c r="Z165" s="13"/>
      <c r="AA165" s="13"/>
    </row>
    <row r="166" customFormat="false" ht="13" hidden="false" customHeight="false" outlineLevel="0" collapsed="false">
      <c r="A166" s="4" t="n">
        <v>20001</v>
      </c>
      <c r="B166" s="4" t="str">
        <f aca="false" t="array" ref="B166:B166">INDEX(Productos!$A:B,MATCH($A166,Productos!$A:$A),COLUMN(B166))</f>
        <v>Nigiri Avocado</v>
      </c>
      <c r="C166" s="12" t="n">
        <v>1310</v>
      </c>
      <c r="D166" s="4" t="str">
        <f aca="false" t="array" ref="D166:D166">INDEX(Productos!$A:B,MATCH($C166,Productos!$A:$A),2)</f>
        <v>Palta cortada para nigiri</v>
      </c>
      <c r="E166" s="12" t="n">
        <v>1</v>
      </c>
      <c r="F166" s="12" t="s">
        <v>28</v>
      </c>
      <c r="G166" s="13" t="n">
        <f aca="false">IFERROR(__xludf.dummyfunction("filter(Productos!K:K,A166=Productos!A:A)"),1)</f>
        <v>1</v>
      </c>
      <c r="H166" s="4" t="n">
        <f aca="false">G166*E166</f>
        <v>1</v>
      </c>
      <c r="I166" s="4" t="str">
        <f aca="false">F166</f>
        <v>Unid</v>
      </c>
      <c r="J166" s="14" t="n">
        <f aca="false">IFERROR(__xludf.dummyfunction("roundup(H166/filter(Productos!I:I,Productos!A:A=C166),1)"),1)</f>
        <v>1</v>
      </c>
      <c r="K166" s="13"/>
      <c r="L166" s="4"/>
      <c r="M166" s="4"/>
      <c r="N166" s="13"/>
      <c r="O166" s="13"/>
      <c r="P166" s="13"/>
      <c r="Q166" s="13"/>
      <c r="R166" s="13"/>
      <c r="S166" s="13"/>
      <c r="T166" s="13"/>
      <c r="U166" s="13"/>
      <c r="V166" s="13"/>
      <c r="W166" s="13"/>
      <c r="X166" s="13"/>
      <c r="Y166" s="13"/>
      <c r="Z166" s="13"/>
      <c r="AA166" s="13"/>
    </row>
    <row r="167" customFormat="false" ht="13" hidden="false" customHeight="false" outlineLevel="0" collapsed="false">
      <c r="A167" s="4" t="n">
        <v>20001</v>
      </c>
      <c r="B167" s="4" t="str">
        <f aca="false" t="array" ref="B167:B167">INDEX(Productos!$A:B,MATCH($A167,Productos!$A:$A),COLUMN(B167))</f>
        <v>Nigiri Avocado</v>
      </c>
      <c r="C167" s="12" t="n">
        <v>1112</v>
      </c>
      <c r="D167" s="4" t="str">
        <f aca="false" t="array" ref="D167:D167">INDEX(Productos!$A:B,MATCH($C167,Productos!$A:$A),2)</f>
        <v>Queso crema para roll</v>
      </c>
      <c r="E167" s="12" t="n">
        <v>1</v>
      </c>
      <c r="F167" s="12" t="s">
        <v>28</v>
      </c>
      <c r="G167" s="13" t="n">
        <f aca="false">IFERROR(__xludf.dummyfunction("filter(Productos!K:K,A167=Productos!A:A)"),1)</f>
        <v>1</v>
      </c>
      <c r="H167" s="4" t="n">
        <f aca="false">G167*E167</f>
        <v>1</v>
      </c>
      <c r="I167" s="4" t="str">
        <f aca="false">F167</f>
        <v>Unid</v>
      </c>
      <c r="J167" s="14" t="n">
        <f aca="false">IFERROR(__xludf.dummyfunction("roundup(H167/filter(Productos!I:I,Productos!A:A=C167),1)"),1)</f>
        <v>1</v>
      </c>
      <c r="K167" s="13"/>
      <c r="L167" s="4"/>
      <c r="M167" s="4"/>
      <c r="N167" s="13"/>
      <c r="O167" s="13"/>
      <c r="P167" s="13"/>
      <c r="Q167" s="13"/>
      <c r="R167" s="13"/>
      <c r="S167" s="13"/>
      <c r="T167" s="13"/>
      <c r="U167" s="13"/>
      <c r="V167" s="13"/>
      <c r="W167" s="13"/>
      <c r="X167" s="13"/>
      <c r="Y167" s="13"/>
      <c r="Z167" s="13"/>
      <c r="AA167" s="13"/>
    </row>
    <row r="168" customFormat="false" ht="13" hidden="false" customHeight="false" outlineLevel="0" collapsed="false">
      <c r="A168" s="4" t="n">
        <v>20001</v>
      </c>
      <c r="B168" s="4" t="str">
        <f aca="false" t="array" ref="B168:B168">INDEX(Productos!$A:B,MATCH($A168,Productos!$A:$A),COLUMN(B168))</f>
        <v>Nigiri Avocado</v>
      </c>
      <c r="C168" s="12" t="n">
        <v>1216</v>
      </c>
      <c r="D168" s="4" t="str">
        <f aca="false" t="array" ref="D168:D168">INDEX(Productos!$A:B,MATCH($C168,Productos!$A:$A),2)</f>
        <v>Nori entero cortado para nigiri</v>
      </c>
      <c r="E168" s="12" t="n">
        <v>1</v>
      </c>
      <c r="F168" s="12" t="s">
        <v>28</v>
      </c>
      <c r="G168" s="13" t="n">
        <f aca="false">IFERROR(__xludf.dummyfunction("filter(Productos!K:K,A168=Productos!A:A)"),1)</f>
        <v>1</v>
      </c>
      <c r="H168" s="4" t="n">
        <f aca="false">G168*E168</f>
        <v>1</v>
      </c>
      <c r="I168" s="4" t="str">
        <f aca="false">F168</f>
        <v>Unid</v>
      </c>
      <c r="J168" s="14" t="n">
        <f aca="false">IFERROR(__xludf.dummyfunction("roundup(H168/filter(Productos!I:I,Productos!A:A=C168),1)"),1)</f>
        <v>1</v>
      </c>
      <c r="K168" s="13"/>
      <c r="L168" s="4"/>
      <c r="M168" s="4"/>
      <c r="N168" s="13"/>
      <c r="O168" s="13"/>
      <c r="P168" s="13"/>
      <c r="Q168" s="13"/>
      <c r="R168" s="13"/>
      <c r="S168" s="13"/>
      <c r="T168" s="13"/>
      <c r="U168" s="13"/>
      <c r="V168" s="13"/>
      <c r="W168" s="13"/>
      <c r="X168" s="13"/>
      <c r="Y168" s="13"/>
      <c r="Z168" s="13"/>
      <c r="AA168" s="13"/>
    </row>
    <row r="169" customFormat="false" ht="13" hidden="false" customHeight="false" outlineLevel="0" collapsed="false">
      <c r="A169" s="4" t="n">
        <v>20002</v>
      </c>
      <c r="B169" s="4" t="str">
        <f aca="false" t="array" ref="B169:B169">INDEX(Productos!$A:B,MATCH($A169,Productos!$A:$A),COLUMN(B169))</f>
        <v>Nigiri Ebi</v>
      </c>
      <c r="C169" s="12" t="n">
        <v>1301</v>
      </c>
      <c r="D169" s="4" t="str">
        <f aca="false" t="array" ref="D169:D169">INDEX(Productos!$A:B,MATCH($C169,Productos!$A:$A),2)</f>
        <v>Arroz cocido para nigiri</v>
      </c>
      <c r="E169" s="12" t="n">
        <v>1</v>
      </c>
      <c r="F169" s="12" t="s">
        <v>28</v>
      </c>
      <c r="G169" s="13" t="n">
        <f aca="false">IFERROR(__xludf.dummyfunction("filter(Productos!K:K,A169=Productos!A:A)"),1)</f>
        <v>1</v>
      </c>
      <c r="H169" s="4" t="n">
        <f aca="false">G169*E169</f>
        <v>1</v>
      </c>
      <c r="I169" s="4" t="str">
        <f aca="false">F169</f>
        <v>Unid</v>
      </c>
      <c r="J169" s="14" t="n">
        <f aca="false">IFERROR(__xludf.dummyfunction("roundup(H169/filter(Productos!I:I,Productos!A:A=C169),1)"),1)</f>
        <v>1</v>
      </c>
      <c r="K169" s="13"/>
      <c r="L169" s="4"/>
      <c r="M169" s="4"/>
      <c r="N169" s="13"/>
      <c r="O169" s="13"/>
      <c r="P169" s="13"/>
      <c r="Q169" s="13"/>
      <c r="R169" s="13"/>
      <c r="S169" s="13"/>
      <c r="T169" s="13"/>
      <c r="U169" s="13"/>
      <c r="V169" s="13"/>
      <c r="W169" s="13"/>
      <c r="X169" s="13"/>
      <c r="Y169" s="13"/>
      <c r="Z169" s="13"/>
      <c r="AA169" s="13"/>
    </row>
    <row r="170" customFormat="false" ht="13" hidden="false" customHeight="false" outlineLevel="0" collapsed="false">
      <c r="A170" s="4" t="n">
        <v>20002</v>
      </c>
      <c r="B170" s="4" t="str">
        <f aca="false" t="array" ref="B170:B170">INDEX(Productos!$A:B,MATCH($A170,Productos!$A:$A),COLUMN(B170))</f>
        <v>Nigiri Ebi</v>
      </c>
      <c r="C170" s="12" t="n">
        <v>1216</v>
      </c>
      <c r="D170" s="4" t="str">
        <f aca="false" t="array" ref="D170:D170">INDEX(Productos!$A:B,MATCH($C170,Productos!$A:$A),2)</f>
        <v>Nori entero cortado para nigiri</v>
      </c>
      <c r="E170" s="12" t="n">
        <v>1</v>
      </c>
      <c r="F170" s="12" t="s">
        <v>28</v>
      </c>
      <c r="G170" s="13" t="n">
        <f aca="false">IFERROR(__xludf.dummyfunction("filter(Productos!K:K,A170=Productos!A:A)"),1)</f>
        <v>1</v>
      </c>
      <c r="H170" s="4" t="n">
        <f aca="false">G170*E170</f>
        <v>1</v>
      </c>
      <c r="I170" s="4" t="str">
        <f aca="false">F170</f>
        <v>Unid</v>
      </c>
      <c r="J170" s="14" t="n">
        <f aca="false">IFERROR(__xludf.dummyfunction("roundup(H170/filter(Productos!I:I,Productos!A:A=C170),1)"),1)</f>
        <v>1</v>
      </c>
      <c r="K170" s="13"/>
      <c r="L170" s="4"/>
      <c r="M170" s="4"/>
      <c r="N170" s="13"/>
      <c r="O170" s="13"/>
      <c r="P170" s="13"/>
      <c r="Q170" s="13"/>
      <c r="R170" s="13"/>
      <c r="S170" s="13"/>
      <c r="T170" s="13"/>
      <c r="U170" s="13"/>
      <c r="V170" s="13"/>
      <c r="W170" s="13"/>
      <c r="X170" s="13"/>
      <c r="Y170" s="13"/>
      <c r="Z170" s="13"/>
      <c r="AA170" s="13"/>
    </row>
    <row r="171" customFormat="false" ht="13" hidden="false" customHeight="false" outlineLevel="0" collapsed="false">
      <c r="A171" s="4" t="n">
        <v>20002</v>
      </c>
      <c r="B171" s="4" t="str">
        <f aca="false" t="array" ref="B171:B171">INDEX(Productos!$A:B,MATCH($A171,Productos!$A:$A),COLUMN(B171))</f>
        <v>Nigiri Ebi</v>
      </c>
      <c r="C171" s="12" t="n">
        <v>1106</v>
      </c>
      <c r="D171" s="4" t="str">
        <f aca="false" t="array" ref="D171:D171">INDEX(Productos!$A:B,MATCH($C171,Productos!$A:$A),2)</f>
        <v>Camarón cocido</v>
      </c>
      <c r="E171" s="12" t="n">
        <v>4</v>
      </c>
      <c r="F171" s="12" t="s">
        <v>28</v>
      </c>
      <c r="G171" s="13" t="n">
        <f aca="false">IFERROR(__xludf.dummyfunction("filter(Productos!K:K,A171=Productos!A:A)"),1)</f>
        <v>1</v>
      </c>
      <c r="H171" s="4" t="n">
        <f aca="false">G171*E171</f>
        <v>4</v>
      </c>
      <c r="I171" s="4" t="str">
        <f aca="false">F171</f>
        <v>Unid</v>
      </c>
      <c r="J171" s="14" t="n">
        <f aca="false">IFERROR(__xludf.dummyfunction("roundup(H171/filter(Productos!I:I,Productos!A:A=C171),1)"),4)</f>
        <v>4</v>
      </c>
      <c r="K171" s="13"/>
      <c r="L171" s="4"/>
      <c r="M171" s="4"/>
      <c r="N171" s="13"/>
      <c r="O171" s="13"/>
      <c r="P171" s="13"/>
      <c r="Q171" s="13"/>
      <c r="R171" s="13"/>
      <c r="S171" s="13"/>
      <c r="T171" s="13"/>
      <c r="U171" s="13"/>
      <c r="V171" s="13"/>
      <c r="W171" s="13"/>
      <c r="X171" s="13"/>
      <c r="Y171" s="13"/>
      <c r="Z171" s="13"/>
      <c r="AA171" s="13"/>
    </row>
    <row r="172" customFormat="false" ht="13" hidden="false" customHeight="false" outlineLevel="0" collapsed="false">
      <c r="A172" s="4" t="n">
        <v>20003</v>
      </c>
      <c r="B172" s="4" t="str">
        <f aca="false" t="array" ref="B172:B172">INDEX(Productos!$A:B,MATCH($A172,Productos!$A:$A),COLUMN(B172))</f>
        <v>Nigiri Sake</v>
      </c>
      <c r="C172" s="12" t="n">
        <v>1301</v>
      </c>
      <c r="D172" s="4" t="str">
        <f aca="false" t="array" ref="D172:D172">INDEX(Productos!$A:B,MATCH($C172,Productos!$A:$A),2)</f>
        <v>Arroz cocido para nigiri</v>
      </c>
      <c r="E172" s="12" t="n">
        <v>1</v>
      </c>
      <c r="F172" s="12" t="s">
        <v>28</v>
      </c>
      <c r="G172" s="13" t="n">
        <f aca="false">IFERROR(__xludf.dummyfunction("filter(Productos!K:K,A172=Productos!A:A)"),1)</f>
        <v>1</v>
      </c>
      <c r="H172" s="4" t="n">
        <f aca="false">G172*E172</f>
        <v>1</v>
      </c>
      <c r="I172" s="4" t="str">
        <f aca="false">F172</f>
        <v>Unid</v>
      </c>
      <c r="J172" s="14" t="n">
        <f aca="false">IFERROR(__xludf.dummyfunction("roundup(H172/filter(Productos!I:I,Productos!A:A=C172),1)"),1)</f>
        <v>1</v>
      </c>
      <c r="K172" s="13"/>
      <c r="L172" s="4"/>
      <c r="M172" s="4"/>
      <c r="N172" s="13"/>
      <c r="O172" s="13"/>
      <c r="P172" s="13"/>
      <c r="Q172" s="13"/>
      <c r="R172" s="13"/>
      <c r="S172" s="13"/>
      <c r="T172" s="13"/>
      <c r="U172" s="13"/>
      <c r="V172" s="13"/>
      <c r="W172" s="13"/>
      <c r="X172" s="13"/>
      <c r="Y172" s="13"/>
      <c r="Z172" s="13"/>
      <c r="AA172" s="13"/>
    </row>
    <row r="173" customFormat="false" ht="13" hidden="false" customHeight="false" outlineLevel="0" collapsed="false">
      <c r="A173" s="4" t="n">
        <v>20003</v>
      </c>
      <c r="B173" s="4" t="str">
        <f aca="false" t="array" ref="B173:B173">INDEX(Productos!$A:B,MATCH($A173,Productos!$A:$A),COLUMN(B173))</f>
        <v>Nigiri Sake</v>
      </c>
      <c r="C173" s="12" t="n">
        <v>1216</v>
      </c>
      <c r="D173" s="4" t="str">
        <f aca="false" t="array" ref="D173:D173">INDEX(Productos!$A:B,MATCH($C173,Productos!$A:$A),2)</f>
        <v>Nori entero cortado para nigiri</v>
      </c>
      <c r="E173" s="12" t="n">
        <v>1</v>
      </c>
      <c r="F173" s="12" t="s">
        <v>28</v>
      </c>
      <c r="G173" s="13" t="n">
        <f aca="false">IFERROR(__xludf.dummyfunction("filter(Productos!K:K,A173=Productos!A:A)"),1)</f>
        <v>1</v>
      </c>
      <c r="H173" s="4" t="n">
        <f aca="false">G173*E173</f>
        <v>1</v>
      </c>
      <c r="I173" s="4" t="str">
        <f aca="false">F173</f>
        <v>Unid</v>
      </c>
      <c r="J173" s="14" t="n">
        <f aca="false">IFERROR(__xludf.dummyfunction("roundup(H173/filter(Productos!I:I,Productos!A:A=C173),1)"),1)</f>
        <v>1</v>
      </c>
      <c r="K173" s="13"/>
      <c r="L173" s="4"/>
      <c r="M173" s="4"/>
      <c r="N173" s="13"/>
      <c r="O173" s="13"/>
      <c r="P173" s="13"/>
      <c r="Q173" s="13"/>
      <c r="R173" s="13"/>
      <c r="S173" s="13"/>
      <c r="T173" s="13"/>
      <c r="U173" s="13"/>
      <c r="V173" s="13"/>
      <c r="W173" s="13"/>
      <c r="X173" s="13"/>
      <c r="Y173" s="13"/>
      <c r="Z173" s="13"/>
      <c r="AA173" s="13"/>
    </row>
    <row r="174" customFormat="false" ht="13" hidden="false" customHeight="false" outlineLevel="0" collapsed="false">
      <c r="A174" s="4" t="n">
        <v>20003</v>
      </c>
      <c r="B174" s="4" t="str">
        <f aca="false" t="array" ref="B174:B174">INDEX(Productos!$A:B,MATCH($A174,Productos!$A:$A),COLUMN(B174))</f>
        <v>Nigiri Sake</v>
      </c>
      <c r="C174" s="12" t="n">
        <v>1207</v>
      </c>
      <c r="D174" s="4" t="str">
        <f aca="false" t="array" ref="D174:D174">INDEX(Productos!$A:B,MATCH($C174,Productos!$A:$A),2)</f>
        <v>Salmón cortado para nigiri</v>
      </c>
      <c r="E174" s="12" t="n">
        <v>1</v>
      </c>
      <c r="F174" s="12" t="s">
        <v>28</v>
      </c>
      <c r="G174" s="13" t="n">
        <f aca="false">IFERROR(__xludf.dummyfunction("filter(Productos!K:K,A174=Productos!A:A)"),1)</f>
        <v>1</v>
      </c>
      <c r="H174" s="4" t="n">
        <f aca="false">G174*E174</f>
        <v>1</v>
      </c>
      <c r="I174" s="4" t="str">
        <f aca="false">F174</f>
        <v>Unid</v>
      </c>
      <c r="J174" s="14" t="n">
        <f aca="false">IFERROR(__xludf.dummyfunction("roundup(H174/filter(Productos!I:I,Productos!A:A=C174),1)"),1)</f>
        <v>1</v>
      </c>
      <c r="K174" s="13"/>
      <c r="L174" s="4"/>
      <c r="M174" s="4"/>
      <c r="N174" s="13"/>
      <c r="O174" s="13"/>
      <c r="P174" s="13"/>
      <c r="Q174" s="13"/>
      <c r="R174" s="13"/>
      <c r="S174" s="13"/>
      <c r="T174" s="13"/>
      <c r="U174" s="13"/>
      <c r="V174" s="13"/>
      <c r="W174" s="13"/>
      <c r="X174" s="13"/>
      <c r="Y174" s="13"/>
      <c r="Z174" s="13"/>
      <c r="AA174" s="13"/>
    </row>
    <row r="175" customFormat="false" ht="13" hidden="false" customHeight="false" outlineLevel="0" collapsed="false">
      <c r="A175" s="4" t="n">
        <v>20004</v>
      </c>
      <c r="B175" s="4" t="str">
        <f aca="false" t="array" ref="B175:B175">INDEX(Productos!$A:B,MATCH($A175,Productos!$A:$A),COLUMN(B175))</f>
        <v>Nigiri Maguro</v>
      </c>
      <c r="C175" s="12" t="n">
        <v>1301</v>
      </c>
      <c r="D175" s="4" t="str">
        <f aca="false" t="array" ref="D175:D175">INDEX(Productos!$A:B,MATCH($C175,Productos!$A:$A),2)</f>
        <v>Arroz cocido para nigiri</v>
      </c>
      <c r="E175" s="12" t="n">
        <v>1</v>
      </c>
      <c r="F175" s="12" t="s">
        <v>28</v>
      </c>
      <c r="G175" s="13" t="n">
        <f aca="false">IFERROR(__xludf.dummyfunction("filter(Productos!K:K,A175=Productos!A:A)"),1)</f>
        <v>1</v>
      </c>
      <c r="H175" s="4" t="n">
        <f aca="false">G175*E175</f>
        <v>1</v>
      </c>
      <c r="I175" s="4" t="str">
        <f aca="false">F175</f>
        <v>Unid</v>
      </c>
      <c r="J175" s="14" t="n">
        <f aca="false">IFERROR(__xludf.dummyfunction("roundup(H175/filter(Productos!I:I,Productos!A:A=C175),1)"),1)</f>
        <v>1</v>
      </c>
      <c r="K175" s="13"/>
      <c r="L175" s="4"/>
      <c r="M175" s="4"/>
      <c r="N175" s="13"/>
      <c r="O175" s="13"/>
      <c r="P175" s="13"/>
      <c r="Q175" s="13"/>
      <c r="R175" s="13"/>
      <c r="S175" s="13"/>
      <c r="T175" s="13"/>
      <c r="U175" s="13"/>
      <c r="V175" s="13"/>
      <c r="W175" s="13"/>
      <c r="X175" s="13"/>
      <c r="Y175" s="13"/>
      <c r="Z175" s="13"/>
      <c r="AA175" s="13"/>
    </row>
    <row r="176" customFormat="false" ht="13" hidden="false" customHeight="false" outlineLevel="0" collapsed="false">
      <c r="A176" s="4" t="n">
        <v>20004</v>
      </c>
      <c r="B176" s="4" t="str">
        <f aca="false" t="array" ref="B176:B176">INDEX(Productos!$A:B,MATCH($A176,Productos!$A:$A),COLUMN(B176))</f>
        <v>Nigiri Maguro</v>
      </c>
      <c r="C176" s="12" t="n">
        <v>1216</v>
      </c>
      <c r="D176" s="4" t="str">
        <f aca="false" t="array" ref="D176:D176">INDEX(Productos!$A:B,MATCH($C176,Productos!$A:$A),2)</f>
        <v>Nori entero cortado para nigiri</v>
      </c>
      <c r="E176" s="12" t="n">
        <v>1</v>
      </c>
      <c r="F176" s="12" t="s">
        <v>28</v>
      </c>
      <c r="G176" s="13" t="n">
        <f aca="false">IFERROR(__xludf.dummyfunction("filter(Productos!K:K,A176=Productos!A:A)"),1)</f>
        <v>1</v>
      </c>
      <c r="H176" s="4" t="n">
        <f aca="false">G176*E176</f>
        <v>1</v>
      </c>
      <c r="I176" s="4" t="str">
        <f aca="false">F176</f>
        <v>Unid</v>
      </c>
      <c r="J176" s="14" t="n">
        <f aca="false">IFERROR(__xludf.dummyfunction("roundup(H176/filter(Productos!I:I,Productos!A:A=C176),1)"),1)</f>
        <v>1</v>
      </c>
      <c r="K176" s="13"/>
      <c r="L176" s="4"/>
      <c r="M176" s="4"/>
      <c r="N176" s="13"/>
      <c r="O176" s="13"/>
      <c r="P176" s="13"/>
      <c r="Q176" s="13"/>
      <c r="R176" s="13"/>
      <c r="S176" s="13"/>
      <c r="T176" s="13"/>
      <c r="U176" s="13"/>
      <c r="V176" s="13"/>
      <c r="W176" s="13"/>
      <c r="X176" s="13"/>
      <c r="Y176" s="13"/>
      <c r="Z176" s="13"/>
      <c r="AA176" s="13"/>
    </row>
    <row r="177" customFormat="false" ht="13" hidden="false" customHeight="false" outlineLevel="0" collapsed="false">
      <c r="A177" s="4" t="n">
        <v>20004</v>
      </c>
      <c r="B177" s="4" t="str">
        <f aca="false" t="array" ref="B177:B177">INDEX(Productos!$A:B,MATCH($A177,Productos!$A:$A),COLUMN(B177))</f>
        <v>Nigiri Maguro</v>
      </c>
      <c r="C177" s="12" t="n">
        <v>1209</v>
      </c>
      <c r="D177" s="4" t="str">
        <f aca="false" t="array" ref="D177:D177">INDEX(Productos!$A:B,MATCH($C177,Productos!$A:$A),2)</f>
        <v>Atún cortado para nigiri</v>
      </c>
      <c r="E177" s="12" t="n">
        <v>1</v>
      </c>
      <c r="F177" s="12" t="s">
        <v>28</v>
      </c>
      <c r="G177" s="13" t="n">
        <f aca="false">IFERROR(__xludf.dummyfunction("filter(Productos!K:K,A177=Productos!A:A)"),1)</f>
        <v>1</v>
      </c>
      <c r="H177" s="4" t="n">
        <f aca="false">G177*E177</f>
        <v>1</v>
      </c>
      <c r="I177" s="4" t="str">
        <f aca="false">F177</f>
        <v>Unid</v>
      </c>
      <c r="J177" s="14" t="n">
        <f aca="false">IFERROR(__xludf.dummyfunction("roundup(H177/filter(Productos!I:I,Productos!A:A=C177),1)"),1)</f>
        <v>1</v>
      </c>
      <c r="K177" s="13"/>
      <c r="L177" s="4"/>
      <c r="M177" s="4"/>
      <c r="N177" s="13"/>
      <c r="O177" s="13"/>
      <c r="P177" s="13"/>
      <c r="Q177" s="13"/>
      <c r="R177" s="13"/>
      <c r="S177" s="13"/>
      <c r="T177" s="13"/>
      <c r="U177" s="13"/>
      <c r="V177" s="13"/>
      <c r="W177" s="13"/>
      <c r="X177" s="13"/>
      <c r="Y177" s="13"/>
      <c r="Z177" s="13"/>
      <c r="AA177" s="13"/>
    </row>
    <row r="178" customFormat="false" ht="13" hidden="false" customHeight="false" outlineLevel="0" collapsed="false">
      <c r="A178" s="4" t="n">
        <v>20005</v>
      </c>
      <c r="B178" s="4" t="str">
        <f aca="false" t="array" ref="B178:B178">INDEX(Productos!$A:B,MATCH($A178,Productos!$A:$A),COLUMN(B178))</f>
        <v>Nigiri Maguro Especial</v>
      </c>
      <c r="C178" s="12" t="n">
        <v>1301</v>
      </c>
      <c r="D178" s="4" t="str">
        <f aca="false" t="array" ref="D178:D178">INDEX(Productos!$A:B,MATCH($C178,Productos!$A:$A),2)</f>
        <v>Arroz cocido para nigiri</v>
      </c>
      <c r="E178" s="12" t="n">
        <v>1</v>
      </c>
      <c r="F178" s="12" t="s">
        <v>28</v>
      </c>
      <c r="G178" s="13" t="n">
        <f aca="false">IFERROR(__xludf.dummyfunction("filter(Productos!K:K,A178=Productos!A:A)"),1)</f>
        <v>1</v>
      </c>
      <c r="H178" s="4" t="n">
        <f aca="false">G178*E178</f>
        <v>1</v>
      </c>
      <c r="I178" s="4" t="str">
        <f aca="false">F178</f>
        <v>Unid</v>
      </c>
      <c r="J178" s="14" t="n">
        <f aca="false">IFERROR(__xludf.dummyfunction("roundup(H178/filter(Productos!I:I,Productos!A:A=C178),1)"),1)</f>
        <v>1</v>
      </c>
      <c r="K178" s="13"/>
      <c r="L178" s="4"/>
      <c r="M178" s="4"/>
      <c r="N178" s="13"/>
      <c r="O178" s="13"/>
      <c r="P178" s="13"/>
      <c r="Q178" s="13"/>
      <c r="R178" s="13"/>
      <c r="S178" s="13"/>
      <c r="T178" s="13"/>
      <c r="U178" s="13"/>
      <c r="V178" s="13"/>
      <c r="W178" s="13"/>
      <c r="X178" s="13"/>
      <c r="Y178" s="13"/>
      <c r="Z178" s="13"/>
      <c r="AA178" s="13"/>
    </row>
    <row r="179" customFormat="false" ht="13" hidden="false" customHeight="false" outlineLevel="0" collapsed="false">
      <c r="A179" s="4" t="n">
        <v>20005</v>
      </c>
      <c r="B179" s="4" t="str">
        <f aca="false" t="array" ref="B179:B179">INDEX(Productos!$A:B,MATCH($A179,Productos!$A:$A),COLUMN(B179))</f>
        <v>Nigiri Maguro Especial</v>
      </c>
      <c r="C179" s="12" t="n">
        <v>1216</v>
      </c>
      <c r="D179" s="4" t="str">
        <f aca="false" t="array" ref="D179:D179">INDEX(Productos!$A:B,MATCH($C179,Productos!$A:$A),2)</f>
        <v>Nori entero cortado para nigiri</v>
      </c>
      <c r="E179" s="12" t="n">
        <v>1</v>
      </c>
      <c r="F179" s="12" t="s">
        <v>28</v>
      </c>
      <c r="G179" s="13" t="n">
        <f aca="false">IFERROR(__xludf.dummyfunction("filter(Productos!K:K,A179=Productos!A:A)"),1)</f>
        <v>1</v>
      </c>
      <c r="H179" s="4" t="n">
        <f aca="false">G179*E179</f>
        <v>1</v>
      </c>
      <c r="I179" s="4" t="str">
        <f aca="false">F179</f>
        <v>Unid</v>
      </c>
      <c r="J179" s="14" t="n">
        <f aca="false">IFERROR(__xludf.dummyfunction("roundup(H179/filter(Productos!I:I,Productos!A:A=C179),1)"),1)</f>
        <v>1</v>
      </c>
      <c r="K179" s="13"/>
      <c r="L179" s="4"/>
      <c r="M179" s="4"/>
      <c r="N179" s="13"/>
      <c r="O179" s="13"/>
      <c r="P179" s="13"/>
      <c r="Q179" s="13"/>
      <c r="R179" s="13"/>
      <c r="S179" s="13"/>
      <c r="T179" s="13"/>
      <c r="U179" s="13"/>
      <c r="V179" s="13"/>
      <c r="W179" s="13"/>
      <c r="X179" s="13"/>
      <c r="Y179" s="13"/>
      <c r="Z179" s="13"/>
      <c r="AA179" s="13"/>
    </row>
    <row r="180" customFormat="false" ht="13" hidden="false" customHeight="false" outlineLevel="0" collapsed="false">
      <c r="A180" s="4" t="n">
        <v>20005</v>
      </c>
      <c r="B180" s="4" t="str">
        <f aca="false" t="array" ref="B180:B180">INDEX(Productos!$A:B,MATCH($A180,Productos!$A:$A),COLUMN(B180))</f>
        <v>Nigiri Maguro Especial</v>
      </c>
      <c r="C180" s="12" t="n">
        <v>1209</v>
      </c>
      <c r="D180" s="4" t="str">
        <f aca="false" t="array" ref="D180:D180">INDEX(Productos!$A:B,MATCH($C180,Productos!$A:$A),2)</f>
        <v>Atún cortado para nigiri</v>
      </c>
      <c r="E180" s="12" t="n">
        <v>1</v>
      </c>
      <c r="F180" s="12" t="s">
        <v>28</v>
      </c>
      <c r="G180" s="13" t="n">
        <f aca="false">IFERROR(__xludf.dummyfunction("filter(Productos!K:K,A180=Productos!A:A)"),1)</f>
        <v>1</v>
      </c>
      <c r="H180" s="4" t="n">
        <f aca="false">G180*E180</f>
        <v>1</v>
      </c>
      <c r="I180" s="4" t="str">
        <f aca="false">F180</f>
        <v>Unid</v>
      </c>
      <c r="J180" s="14" t="n">
        <f aca="false">IFERROR(__xludf.dummyfunction("roundup(H180/filter(Productos!I:I,Productos!A:A=C180),1)"),1)</f>
        <v>1</v>
      </c>
      <c r="K180" s="13"/>
      <c r="L180" s="4"/>
      <c r="M180" s="4"/>
      <c r="N180" s="13"/>
      <c r="O180" s="13"/>
      <c r="P180" s="13"/>
      <c r="Q180" s="13"/>
      <c r="R180" s="13"/>
      <c r="S180" s="13"/>
      <c r="T180" s="13"/>
      <c r="U180" s="13"/>
      <c r="V180" s="13"/>
      <c r="W180" s="13"/>
      <c r="X180" s="13"/>
      <c r="Y180" s="13"/>
      <c r="Z180" s="13"/>
      <c r="AA180" s="13"/>
    </row>
    <row r="181" customFormat="false" ht="13" hidden="false" customHeight="false" outlineLevel="0" collapsed="false">
      <c r="A181" s="4" t="n">
        <v>20005</v>
      </c>
      <c r="B181" s="4" t="str">
        <f aca="false" t="array" ref="B181:B181">INDEX(Productos!$A:B,MATCH($A181,Productos!$A:$A),COLUMN(B181))</f>
        <v>Nigiri Maguro Especial</v>
      </c>
      <c r="C181" s="12" t="n">
        <v>1310</v>
      </c>
      <c r="D181" s="4" t="str">
        <f aca="false" t="array" ref="D181:D181">INDEX(Productos!$A:B,MATCH($C181,Productos!$A:$A),2)</f>
        <v>Palta cortada para nigiri</v>
      </c>
      <c r="E181" s="12" t="n">
        <v>1</v>
      </c>
      <c r="F181" s="12" t="s">
        <v>28</v>
      </c>
      <c r="G181" s="13" t="n">
        <f aca="false">IFERROR(__xludf.dummyfunction("filter(Productos!K:K,A181=Productos!A:A)"),1)</f>
        <v>1</v>
      </c>
      <c r="H181" s="4" t="n">
        <f aca="false">G181*E181</f>
        <v>1</v>
      </c>
      <c r="I181" s="4" t="str">
        <f aca="false">F181</f>
        <v>Unid</v>
      </c>
      <c r="J181" s="14" t="n">
        <f aca="false">IFERROR(__xludf.dummyfunction("roundup(H181/filter(Productos!I:I,Productos!A:A=C181),1)"),1)</f>
        <v>1</v>
      </c>
      <c r="K181" s="13"/>
      <c r="L181" s="4"/>
      <c r="M181" s="4"/>
      <c r="N181" s="13"/>
      <c r="O181" s="13"/>
      <c r="P181" s="13"/>
      <c r="Q181" s="13"/>
      <c r="R181" s="13"/>
      <c r="S181" s="13"/>
      <c r="T181" s="13"/>
      <c r="U181" s="13"/>
      <c r="V181" s="13"/>
      <c r="W181" s="13"/>
      <c r="X181" s="13"/>
      <c r="Y181" s="13"/>
      <c r="Z181" s="13"/>
      <c r="AA181" s="13"/>
    </row>
    <row r="182" customFormat="false" ht="13" hidden="false" customHeight="false" outlineLevel="0" collapsed="false">
      <c r="A182" s="4" t="n">
        <v>20005</v>
      </c>
      <c r="B182" s="4" t="str">
        <f aca="false" t="array" ref="B182:B182">INDEX(Productos!$A:B,MATCH($A182,Productos!$A:$A),COLUMN(B182))</f>
        <v>Nigiri Maguro Especial</v>
      </c>
      <c r="C182" s="12" t="n">
        <v>1112</v>
      </c>
      <c r="D182" s="4" t="str">
        <f aca="false" t="array" ref="D182:D182">INDEX(Productos!$A:B,MATCH($C182,Productos!$A:$A),2)</f>
        <v>Queso crema para roll</v>
      </c>
      <c r="E182" s="12" t="n">
        <v>1</v>
      </c>
      <c r="F182" s="12" t="s">
        <v>28</v>
      </c>
      <c r="G182" s="13" t="n">
        <f aca="false">IFERROR(__xludf.dummyfunction("filter(Productos!K:K,A182=Productos!A:A)"),1)</f>
        <v>1</v>
      </c>
      <c r="H182" s="4" t="n">
        <f aca="false">G182*E182</f>
        <v>1</v>
      </c>
      <c r="I182" s="4" t="str">
        <f aca="false">F182</f>
        <v>Unid</v>
      </c>
      <c r="J182" s="14" t="n">
        <f aca="false">IFERROR(__xludf.dummyfunction("roundup(H182/filter(Productos!I:I,Productos!A:A=C182),1)"),1)</f>
        <v>1</v>
      </c>
      <c r="K182" s="13"/>
      <c r="L182" s="4"/>
      <c r="M182" s="4"/>
      <c r="N182" s="13"/>
      <c r="O182" s="13"/>
      <c r="P182" s="13"/>
      <c r="Q182" s="13"/>
      <c r="R182" s="13"/>
      <c r="S182" s="13"/>
      <c r="T182" s="13"/>
      <c r="U182" s="13"/>
      <c r="V182" s="13"/>
      <c r="W182" s="13"/>
      <c r="X182" s="13"/>
      <c r="Y182" s="13"/>
      <c r="Z182" s="13"/>
      <c r="AA182" s="13"/>
    </row>
    <row r="183" customFormat="false" ht="13" hidden="false" customHeight="false" outlineLevel="0" collapsed="false">
      <c r="A183" s="4" t="n">
        <v>30001</v>
      </c>
      <c r="B183" s="4" t="str">
        <f aca="false" t="array" ref="B183:B183">INDEX(Productos!$A:B,MATCH($A183,Productos!$A:$A),COLUMN(B183))</f>
        <v>Sashimi Salmón 9 cortes</v>
      </c>
      <c r="C183" s="12" t="n">
        <v>1307</v>
      </c>
      <c r="D183" s="4" t="str">
        <f aca="false" t="array" ref="D183:D183">INDEX(Productos!$A:B,MATCH($C183,Productos!$A:$A),2)</f>
        <v>Salmón cortado para sashimi</v>
      </c>
      <c r="E183" s="12" t="n">
        <v>3</v>
      </c>
      <c r="F183" s="12" t="s">
        <v>28</v>
      </c>
      <c r="G183" s="13" t="n">
        <f aca="false">IFERROR(__xludf.dummyfunction("filter(Productos!K:K,A183=Productos!A:A)"),1)</f>
        <v>1</v>
      </c>
      <c r="H183" s="4" t="n">
        <f aca="false">G183*E183</f>
        <v>3</v>
      </c>
      <c r="I183" s="4" t="str">
        <f aca="false">F183</f>
        <v>Unid</v>
      </c>
      <c r="J183" s="14" t="n">
        <f aca="false">IFERROR(__xludf.dummyfunction("roundup(H183/filter(Productos!I:I,Productos!A:A=C183),1)"),3)</f>
        <v>3</v>
      </c>
      <c r="K183" s="13"/>
      <c r="L183" s="4"/>
      <c r="M183" s="4"/>
      <c r="N183" s="13"/>
      <c r="O183" s="13"/>
      <c r="P183" s="13"/>
      <c r="Q183" s="13"/>
      <c r="R183" s="13"/>
      <c r="S183" s="13"/>
      <c r="T183" s="13"/>
      <c r="U183" s="13"/>
      <c r="V183" s="13"/>
      <c r="W183" s="13"/>
      <c r="X183" s="13"/>
      <c r="Y183" s="13"/>
      <c r="Z183" s="13"/>
      <c r="AA183" s="13"/>
    </row>
    <row r="184" customFormat="false" ht="13" hidden="false" customHeight="false" outlineLevel="0" collapsed="false">
      <c r="A184" s="4" t="n">
        <v>30002</v>
      </c>
      <c r="B184" s="4" t="str">
        <f aca="false" t="array" ref="B184:B184">INDEX(Productos!$A:B,MATCH($A184,Productos!$A:$A),COLUMN(B184))</f>
        <v>Sashimi Salmón 12 cortes</v>
      </c>
      <c r="C184" s="12" t="n">
        <v>1307</v>
      </c>
      <c r="D184" s="4" t="str">
        <f aca="false" t="array" ref="D184:D184">INDEX(Productos!$A:B,MATCH($C184,Productos!$A:$A),2)</f>
        <v>Salmón cortado para sashimi</v>
      </c>
      <c r="E184" s="12" t="n">
        <v>4</v>
      </c>
      <c r="F184" s="12" t="s">
        <v>28</v>
      </c>
      <c r="G184" s="13" t="n">
        <f aca="false">IFERROR(__xludf.dummyfunction("filter(Productos!K:K,A184=Productos!A:A)"),1)</f>
        <v>1</v>
      </c>
      <c r="H184" s="4" t="n">
        <f aca="false">G184*E184</f>
        <v>4</v>
      </c>
      <c r="I184" s="4" t="str">
        <f aca="false">F184</f>
        <v>Unid</v>
      </c>
      <c r="J184" s="14" t="n">
        <f aca="false">IFERROR(__xludf.dummyfunction("roundup(H184/filter(Productos!I:I,Productos!A:A=C184),1)"),4)</f>
        <v>4</v>
      </c>
      <c r="K184" s="13"/>
      <c r="L184" s="4"/>
      <c r="M184" s="4"/>
      <c r="N184" s="13"/>
      <c r="O184" s="13"/>
      <c r="P184" s="13"/>
      <c r="Q184" s="13"/>
      <c r="R184" s="13"/>
      <c r="S184" s="13"/>
      <c r="T184" s="13"/>
      <c r="U184" s="13"/>
      <c r="V184" s="13"/>
      <c r="W184" s="13"/>
      <c r="X184" s="13"/>
      <c r="Y184" s="13"/>
      <c r="Z184" s="13"/>
      <c r="AA184" s="13"/>
    </row>
    <row r="185" customFormat="false" ht="13" hidden="false" customHeight="false" outlineLevel="0" collapsed="false">
      <c r="A185" s="4" t="n">
        <v>30003</v>
      </c>
      <c r="B185" s="4" t="str">
        <f aca="false" t="array" ref="B185:B185">INDEX(Productos!$A:B,MATCH($A185,Productos!$A:$A),COLUMN(B185))</f>
        <v>Sashimi Salmón 15 cortes</v>
      </c>
      <c r="C185" s="12" t="n">
        <v>1307</v>
      </c>
      <c r="D185" s="4" t="str">
        <f aca="false" t="array" ref="D185:D185">INDEX(Productos!$A:B,MATCH($C185,Productos!$A:$A),2)</f>
        <v>Salmón cortado para sashimi</v>
      </c>
      <c r="E185" s="12" t="n">
        <v>5</v>
      </c>
      <c r="F185" s="12" t="s">
        <v>28</v>
      </c>
      <c r="G185" s="13" t="n">
        <f aca="false">IFERROR(__xludf.dummyfunction("filter(Productos!K:K,A185=Productos!A:A)"),1)</f>
        <v>1</v>
      </c>
      <c r="H185" s="4" t="n">
        <f aca="false">G185*E185</f>
        <v>5</v>
      </c>
      <c r="I185" s="4" t="str">
        <f aca="false">F185</f>
        <v>Unid</v>
      </c>
      <c r="J185" s="14" t="n">
        <f aca="false">IFERROR(__xludf.dummyfunction("roundup(H185/filter(Productos!I:I,Productos!A:A=C185),1)"),5)</f>
        <v>5</v>
      </c>
      <c r="K185" s="13"/>
      <c r="L185" s="4"/>
      <c r="M185" s="4"/>
      <c r="N185" s="13"/>
      <c r="O185" s="13"/>
      <c r="P185" s="13"/>
      <c r="Q185" s="13"/>
      <c r="R185" s="13"/>
      <c r="S185" s="13"/>
      <c r="T185" s="13"/>
      <c r="U185" s="13"/>
      <c r="V185" s="13"/>
      <c r="W185" s="13"/>
      <c r="X185" s="13"/>
      <c r="Y185" s="13"/>
      <c r="Z185" s="13"/>
      <c r="AA185" s="13"/>
    </row>
    <row r="186" customFormat="false" ht="13" hidden="false" customHeight="false" outlineLevel="0" collapsed="false">
      <c r="A186" s="4" t="n">
        <v>30004</v>
      </c>
      <c r="B186" s="4" t="str">
        <f aca="false" t="array" ref="B186:B186">INDEX(Productos!$A:B,MATCH($A186,Productos!$A:$A),COLUMN(B186))</f>
        <v>Sashimi Atún 9 cortes</v>
      </c>
      <c r="C186" s="12" t="n">
        <v>1309</v>
      </c>
      <c r="D186" s="4" t="str">
        <f aca="false" t="array" ref="D186:D186">INDEX(Productos!$A:B,MATCH($C186,Productos!$A:$A),2)</f>
        <v>Atún cortado para sashimi</v>
      </c>
      <c r="E186" s="12" t="n">
        <v>3</v>
      </c>
      <c r="F186" s="12" t="s">
        <v>28</v>
      </c>
      <c r="G186" s="13" t="n">
        <f aca="false">IFERROR(__xludf.dummyfunction("filter(Productos!K:K,A186=Productos!A:A)"),1)</f>
        <v>1</v>
      </c>
      <c r="H186" s="4" t="n">
        <f aca="false">G186*E186</f>
        <v>3</v>
      </c>
      <c r="I186" s="4" t="str">
        <f aca="false">F186</f>
        <v>Unid</v>
      </c>
      <c r="J186" s="14" t="n">
        <f aca="false">IFERROR(__xludf.dummyfunction("roundup(H186/filter(Productos!I:I,Productos!A:A=C186),1)"),3)</f>
        <v>3</v>
      </c>
      <c r="K186" s="13"/>
      <c r="L186" s="4"/>
      <c r="M186" s="4"/>
      <c r="N186" s="13"/>
      <c r="O186" s="13"/>
      <c r="P186" s="13"/>
      <c r="Q186" s="13"/>
      <c r="R186" s="13"/>
      <c r="S186" s="13"/>
      <c r="T186" s="13"/>
      <c r="U186" s="13"/>
      <c r="V186" s="13"/>
      <c r="W186" s="13"/>
      <c r="X186" s="13"/>
      <c r="Y186" s="13"/>
      <c r="Z186" s="13"/>
      <c r="AA186" s="13"/>
    </row>
    <row r="187" customFormat="false" ht="13" hidden="false" customHeight="false" outlineLevel="0" collapsed="false">
      <c r="A187" s="4" t="n">
        <v>30005</v>
      </c>
      <c r="B187" s="4" t="str">
        <f aca="false" t="array" ref="B187:B187">INDEX(Productos!$A:B,MATCH($A187,Productos!$A:$A),COLUMN(B187))</f>
        <v>Sashimi Atún 12 cortes</v>
      </c>
      <c r="C187" s="12" t="n">
        <v>1309</v>
      </c>
      <c r="D187" s="4" t="str">
        <f aca="false" t="array" ref="D187:D187">INDEX(Productos!$A:B,MATCH($C187,Productos!$A:$A),2)</f>
        <v>Atún cortado para sashimi</v>
      </c>
      <c r="E187" s="12" t="n">
        <v>4</v>
      </c>
      <c r="F187" s="12" t="s">
        <v>28</v>
      </c>
      <c r="G187" s="13" t="n">
        <f aca="false">IFERROR(__xludf.dummyfunction("filter(Productos!K:K,A187=Productos!A:A)"),1)</f>
        <v>1</v>
      </c>
      <c r="H187" s="4" t="n">
        <f aca="false">G187*E187</f>
        <v>4</v>
      </c>
      <c r="I187" s="4" t="str">
        <f aca="false">F187</f>
        <v>Unid</v>
      </c>
      <c r="J187" s="14" t="n">
        <f aca="false">IFERROR(__xludf.dummyfunction("roundup(H187/filter(Productos!I:I,Productos!A:A=C187),1)"),4)</f>
        <v>4</v>
      </c>
      <c r="K187" s="13"/>
      <c r="L187" s="4"/>
      <c r="M187" s="4"/>
      <c r="N187" s="13"/>
      <c r="O187" s="13"/>
      <c r="P187" s="13"/>
      <c r="Q187" s="13"/>
      <c r="R187" s="13"/>
      <c r="S187" s="13"/>
      <c r="T187" s="13"/>
      <c r="U187" s="13"/>
      <c r="V187" s="13"/>
      <c r="W187" s="13"/>
      <c r="X187" s="13"/>
      <c r="Y187" s="13"/>
      <c r="Z187" s="13"/>
      <c r="AA187" s="13"/>
    </row>
    <row r="188" customFormat="false" ht="13" hidden="false" customHeight="false" outlineLevel="0" collapsed="false">
      <c r="A188" s="4" t="n">
        <v>30006</v>
      </c>
      <c r="B188" s="4" t="str">
        <f aca="false" t="array" ref="B188:B188">INDEX(Productos!$A:B,MATCH($A188,Productos!$A:$A),COLUMN(B188))</f>
        <v>Sashimi Atún 15 cortes</v>
      </c>
      <c r="C188" s="12" t="n">
        <v>1309</v>
      </c>
      <c r="D188" s="4" t="str">
        <f aca="false" t="array" ref="D188:D188">INDEX(Productos!$A:B,MATCH($C188,Productos!$A:$A),2)</f>
        <v>Atún cortado para sashimi</v>
      </c>
      <c r="E188" s="12" t="n">
        <v>5</v>
      </c>
      <c r="F188" s="12" t="s">
        <v>28</v>
      </c>
      <c r="G188" s="13" t="n">
        <f aca="false">IFERROR(__xludf.dummyfunction("filter(Productos!K:K,A188=Productos!A:A)"),1)</f>
        <v>1</v>
      </c>
      <c r="H188" s="4" t="n">
        <f aca="false">G188*E188</f>
        <v>5</v>
      </c>
      <c r="I188" s="4" t="str">
        <f aca="false">F188</f>
        <v>Unid</v>
      </c>
      <c r="J188" s="14" t="n">
        <f aca="false">IFERROR(__xludf.dummyfunction("roundup(H188/filter(Productos!I:I,Productos!A:A=C188),1)"),5)</f>
        <v>5</v>
      </c>
      <c r="K188" s="13"/>
      <c r="L188" s="4"/>
      <c r="M188" s="4"/>
      <c r="N188" s="13"/>
      <c r="O188" s="13"/>
      <c r="P188" s="13"/>
      <c r="Q188" s="13"/>
      <c r="R188" s="13"/>
      <c r="S188" s="13"/>
      <c r="T188" s="13"/>
      <c r="U188" s="13"/>
      <c r="V188" s="13"/>
      <c r="W188" s="13"/>
      <c r="X188" s="13"/>
      <c r="Y188" s="13"/>
      <c r="Z188" s="13"/>
      <c r="AA188" s="13"/>
    </row>
    <row r="189" customFormat="false" ht="13" hidden="false" customHeight="false" outlineLevel="0" collapsed="false">
      <c r="A189" s="4" t="n">
        <v>30007</v>
      </c>
      <c r="B189" s="4" t="str">
        <f aca="false" t="array" ref="B189:B189">INDEX(Productos!$A:B,MATCH($A189,Productos!$A:$A),COLUMN(B189))</f>
        <v>Sashimi Mix 12 cortes</v>
      </c>
      <c r="C189" s="12" t="n">
        <v>1309</v>
      </c>
      <c r="D189" s="4" t="str">
        <f aca="false" t="array" ref="D189:D189">INDEX(Productos!$A:B,MATCH($C189,Productos!$A:$A),2)</f>
        <v>Atún cortado para sashimi</v>
      </c>
      <c r="E189" s="12" t="n">
        <v>2</v>
      </c>
      <c r="F189" s="12" t="s">
        <v>28</v>
      </c>
      <c r="G189" s="13" t="n">
        <f aca="false">IFERROR(__xludf.dummyfunction("filter(Productos!K:K,A189=Productos!A:A)"),1)</f>
        <v>1</v>
      </c>
      <c r="H189" s="4" t="n">
        <f aca="false">G189*E189</f>
        <v>2</v>
      </c>
      <c r="I189" s="4" t="str">
        <f aca="false">F189</f>
        <v>Unid</v>
      </c>
      <c r="J189" s="14" t="n">
        <f aca="false">IFERROR(__xludf.dummyfunction("roundup(H189/filter(Productos!I:I,Productos!A:A=C189),1)"),2)</f>
        <v>2</v>
      </c>
      <c r="K189" s="13"/>
      <c r="L189" s="4"/>
      <c r="M189" s="4"/>
      <c r="N189" s="13"/>
      <c r="O189" s="13"/>
      <c r="P189" s="13"/>
      <c r="Q189" s="13"/>
      <c r="R189" s="13"/>
      <c r="S189" s="13"/>
      <c r="T189" s="13"/>
      <c r="U189" s="13"/>
      <c r="V189" s="13"/>
      <c r="W189" s="13"/>
      <c r="X189" s="13"/>
      <c r="Y189" s="13"/>
      <c r="Z189" s="13"/>
      <c r="AA189" s="13"/>
    </row>
    <row r="190" customFormat="false" ht="13" hidden="false" customHeight="false" outlineLevel="0" collapsed="false">
      <c r="A190" s="4" t="n">
        <v>30007</v>
      </c>
      <c r="B190" s="4" t="str">
        <f aca="false" t="array" ref="B190:B190">INDEX(Productos!$A:B,MATCH($A190,Productos!$A:$A),COLUMN(B190))</f>
        <v>Sashimi Mix 12 cortes</v>
      </c>
      <c r="C190" s="12" t="n">
        <v>1307</v>
      </c>
      <c r="D190" s="4" t="str">
        <f aca="false" t="array" ref="D190:D190">INDEX(Productos!$A:B,MATCH($C190,Productos!$A:$A),2)</f>
        <v>Salmón cortado para sashimi</v>
      </c>
      <c r="E190" s="12" t="n">
        <v>2</v>
      </c>
      <c r="F190" s="12" t="s">
        <v>28</v>
      </c>
      <c r="G190" s="13" t="n">
        <f aca="false">IFERROR(__xludf.dummyfunction("filter(Productos!K:K,A190=Productos!A:A)"),1)</f>
        <v>1</v>
      </c>
      <c r="H190" s="4" t="n">
        <f aca="false">G190*E190</f>
        <v>2</v>
      </c>
      <c r="I190" s="4" t="str">
        <f aca="false">F190</f>
        <v>Unid</v>
      </c>
      <c r="J190" s="14" t="n">
        <f aca="false">IFERROR(__xludf.dummyfunction("roundup(H190/filter(Productos!I:I,Productos!A:A=C190),1)"),2)</f>
        <v>2</v>
      </c>
      <c r="K190" s="13"/>
      <c r="L190" s="4"/>
      <c r="M190" s="4"/>
      <c r="N190" s="13"/>
      <c r="O190" s="13"/>
      <c r="P190" s="13"/>
      <c r="Q190" s="13"/>
      <c r="R190" s="13"/>
      <c r="S190" s="13"/>
      <c r="T190" s="13"/>
      <c r="U190" s="13"/>
      <c r="V190" s="13"/>
      <c r="W190" s="13"/>
      <c r="X190" s="13"/>
      <c r="Y190" s="13"/>
      <c r="Z190" s="13"/>
      <c r="AA190" s="13"/>
    </row>
    <row r="191" customFormat="false" ht="13" hidden="false" customHeight="false" outlineLevel="0" collapsed="false">
      <c r="A191" s="4" t="n">
        <v>30008</v>
      </c>
      <c r="B191" s="4" t="str">
        <f aca="false" t="array" ref="B191:B191">INDEX(Productos!$A:B,MATCH($A191,Productos!$A:$A),COLUMN(B191))</f>
        <v>Sashimi Mix 18 cortes</v>
      </c>
      <c r="C191" s="12" t="n">
        <v>1309</v>
      </c>
      <c r="D191" s="4" t="str">
        <f aca="false" t="array" ref="D191:D191">INDEX(Productos!$A:B,MATCH($C191,Productos!$A:$A),2)</f>
        <v>Atún cortado para sashimi</v>
      </c>
      <c r="E191" s="12" t="n">
        <v>3</v>
      </c>
      <c r="F191" s="12" t="s">
        <v>28</v>
      </c>
      <c r="G191" s="13" t="n">
        <f aca="false">IFERROR(__xludf.dummyfunction("filter(Productos!K:K,A191=Productos!A:A)"),1)</f>
        <v>1</v>
      </c>
      <c r="H191" s="4" t="n">
        <f aca="false">G191*E191</f>
        <v>3</v>
      </c>
      <c r="I191" s="4" t="str">
        <f aca="false">F191</f>
        <v>Unid</v>
      </c>
      <c r="J191" s="14" t="n">
        <f aca="false">IFERROR(__xludf.dummyfunction("roundup(H191/filter(Productos!I:I,Productos!A:A=C191),1)"),3)</f>
        <v>3</v>
      </c>
      <c r="K191" s="13"/>
      <c r="L191" s="4"/>
      <c r="M191" s="4"/>
      <c r="N191" s="13"/>
      <c r="O191" s="13"/>
      <c r="P191" s="13"/>
      <c r="Q191" s="13"/>
      <c r="R191" s="13"/>
      <c r="S191" s="13"/>
      <c r="T191" s="13"/>
      <c r="U191" s="13"/>
      <c r="V191" s="13"/>
      <c r="W191" s="13"/>
      <c r="X191" s="13"/>
      <c r="Y191" s="13"/>
      <c r="Z191" s="13"/>
      <c r="AA191" s="13"/>
    </row>
    <row r="192" customFormat="false" ht="13" hidden="false" customHeight="false" outlineLevel="0" collapsed="false">
      <c r="A192" s="4" t="n">
        <v>30008</v>
      </c>
      <c r="B192" s="4" t="str">
        <f aca="false" t="array" ref="B192:B192">INDEX(Productos!$A:B,MATCH($A192,Productos!$A:$A),COLUMN(B192))</f>
        <v>Sashimi Mix 18 cortes</v>
      </c>
      <c r="C192" s="12" t="n">
        <v>1307</v>
      </c>
      <c r="D192" s="4" t="str">
        <f aca="false" t="array" ref="D192:D192">INDEX(Productos!$A:B,MATCH($C192,Productos!$A:$A),2)</f>
        <v>Salmón cortado para sashimi</v>
      </c>
      <c r="E192" s="12" t="n">
        <v>3</v>
      </c>
      <c r="F192" s="12" t="s">
        <v>28</v>
      </c>
      <c r="G192" s="13" t="n">
        <f aca="false">IFERROR(__xludf.dummyfunction("filter(Productos!K:K,A192=Productos!A:A)"),1)</f>
        <v>1</v>
      </c>
      <c r="H192" s="4" t="n">
        <f aca="false">G192*E192</f>
        <v>3</v>
      </c>
      <c r="I192" s="4" t="str">
        <f aca="false">F192</f>
        <v>Unid</v>
      </c>
      <c r="J192" s="14" t="n">
        <f aca="false">IFERROR(__xludf.dummyfunction("roundup(H192/filter(Productos!I:I,Productos!A:A=C192),1)"),3)</f>
        <v>3</v>
      </c>
      <c r="K192" s="13"/>
      <c r="L192" s="4"/>
      <c r="M192" s="4"/>
      <c r="N192" s="13"/>
      <c r="O192" s="13"/>
      <c r="P192" s="13"/>
      <c r="Q192" s="13"/>
      <c r="R192" s="13"/>
      <c r="S192" s="13"/>
      <c r="T192" s="13"/>
      <c r="U192" s="13"/>
      <c r="V192" s="13"/>
      <c r="W192" s="13"/>
      <c r="X192" s="13"/>
      <c r="Y192" s="13"/>
      <c r="Z192" s="13"/>
      <c r="AA192" s="13"/>
    </row>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row r="1001" customFormat="false" ht="13" hidden="false" customHeight="false" outlineLevel="0" collapsed="false"/>
    <row r="1002" customFormat="false" ht="13" hidden="false" customHeight="false" outlineLevel="0" collapsed="false"/>
    <row r="1003" customFormat="false" ht="13" hidden="false" customHeight="false" outlineLevel="0" collapsed="false"/>
    <row r="1004" customFormat="false" ht="13" hidden="false" customHeight="false" outlineLevel="0" collapsed="false"/>
    <row r="1005" customFormat="false" ht="13" hidden="false" customHeight="false" outlineLevel="0" collapsed="false"/>
    <row r="1006" customFormat="false" ht="13" hidden="false" customHeight="false" outlineLevel="0" collapsed="false"/>
    <row r="1007" customFormat="false" ht="13" hidden="false" customHeight="false" outlineLevel="0" collapsed="false"/>
    <row r="1008" customFormat="false" ht="13" hidden="false" customHeight="false" outlineLevel="0" collapsed="false"/>
    <row r="1009" customFormat="false" ht="13" hidden="false" customHeight="false" outlineLevel="0" collapsed="false"/>
    <row r="1010" customFormat="false" ht="13" hidden="false" customHeight="false" outlineLevel="0" collapsed="false"/>
    <row r="1011" customFormat="false" ht="13" hidden="false" customHeight="false" outlineLevel="0" collapsed="false"/>
    <row r="1012" customFormat="false" ht="13" hidden="false" customHeight="false" outlineLevel="0" collapsed="false"/>
    <row r="1013" customFormat="false" ht="13" hidden="false" customHeight="false" outlineLevel="0" collapsed="false"/>
    <row r="1014" customFormat="false" ht="13" hidden="false" customHeight="false" outlineLevel="0" collapsed="false"/>
    <row r="1015" customFormat="false" ht="13" hidden="false" customHeight="false" outlineLevel="0" collapsed="false"/>
    <row r="1016" customFormat="false" ht="13" hidden="false" customHeight="false" outlineLevel="0" collapsed="false"/>
    <row r="1017" customFormat="false" ht="13" hidden="false" customHeight="false" outlineLevel="0" collapsed="false"/>
    <row r="1018" customFormat="false" ht="13" hidden="false" customHeight="false" outlineLevel="0" collapsed="false"/>
    <row r="1019" customFormat="false" ht="13" hidden="false" customHeight="false" outlineLevel="0" collapsed="false"/>
    <row r="1020" customFormat="false" ht="13" hidden="false" customHeight="false" outlineLevel="0" collapsed="false"/>
    <row r="1021" customFormat="false" ht="13" hidden="false" customHeight="false" outlineLevel="0" collapsed="false"/>
  </sheetData>
  <autoFilter ref="A1:J1021"/>
  <dataValidations count="1">
    <dataValidation allowBlank="true" operator="between" showDropDown="true" showErrorMessage="false" showInputMessage="false" sqref="D2:D192" type="list">
      <formula1>'Resumen recetas productos'!$B$2:$B1021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70" activePane="bottomRight" state="frozen"/>
      <selection pane="topLeft" activeCell="A1" activeCellId="0" sqref="A1"/>
      <selection pane="topRight" activeCell="C1" activeCellId="0" sqref="C1"/>
      <selection pane="bottomLeft" activeCell="A70" activeCellId="0" sqref="A70"/>
      <selection pane="bottomRight" activeCell="L1" activeCellId="0" sqref="L1"/>
    </sheetView>
  </sheetViews>
  <sheetFormatPr defaultRowHeight="15.75" zeroHeight="false" outlineLevelRow="0" outlineLevelCol="0"/>
  <cols>
    <col collapsed="false" customWidth="true" hidden="false" outlineLevel="0" max="1" min="1" style="0" width="10"/>
    <col collapsed="false" customWidth="true" hidden="false" outlineLevel="0" max="2" min="2" style="0" width="29.66"/>
    <col collapsed="false" customWidth="true" hidden="false" outlineLevel="0" max="3" min="3" style="0" width="26.51"/>
    <col collapsed="false" customWidth="true" hidden="false" outlineLevel="0" max="4" min="4" style="0" width="15.16"/>
    <col collapsed="false" customWidth="true" hidden="false" outlineLevel="0" max="11" min="5" style="0" width="15"/>
    <col collapsed="false" customWidth="true" hidden="false" outlineLevel="0" max="1025" min="12" style="0" width="14.5"/>
  </cols>
  <sheetData>
    <row r="1" customFormat="false" ht="15.75" hidden="false" customHeight="true" outlineLevel="0" collapsed="false">
      <c r="A1" s="1" t="s">
        <v>0</v>
      </c>
      <c r="B1" s="1" t="s">
        <v>1</v>
      </c>
      <c r="C1" s="1" t="s">
        <v>2</v>
      </c>
      <c r="D1" s="1" t="s">
        <v>5</v>
      </c>
      <c r="E1" s="1" t="s">
        <v>180</v>
      </c>
      <c r="F1" s="1" t="s">
        <v>181</v>
      </c>
      <c r="G1" s="1" t="s">
        <v>182</v>
      </c>
      <c r="H1" s="1" t="s">
        <v>183</v>
      </c>
      <c r="I1" s="1" t="s">
        <v>184</v>
      </c>
      <c r="J1" s="1" t="s">
        <v>185</v>
      </c>
      <c r="K1" s="1" t="s">
        <v>186</v>
      </c>
      <c r="L1" s="1" t="s">
        <v>187</v>
      </c>
      <c r="M1" s="1" t="s">
        <v>188</v>
      </c>
      <c r="N1" s="1"/>
      <c r="O1" s="1"/>
      <c r="P1" s="1"/>
      <c r="Q1" s="1"/>
      <c r="R1" s="1"/>
      <c r="S1" s="1"/>
      <c r="T1" s="1"/>
      <c r="U1" s="1"/>
      <c r="V1" s="1"/>
      <c r="W1" s="1"/>
      <c r="X1" s="1"/>
      <c r="Y1" s="1"/>
      <c r="Z1" s="1"/>
      <c r="AA1" s="1"/>
      <c r="AB1" s="1"/>
    </row>
    <row r="2" customFormat="false" ht="15.75" hidden="false" customHeight="true" outlineLevel="0" collapsed="false">
      <c r="A2" s="4" t="n">
        <v>1001</v>
      </c>
      <c r="B2" s="4" t="str">
        <f aca="false" t="array" ref="B2:B2">INDEX(Productos!$A:B,MATCH($A2,Productos!$A:$A),COLUMN(B2))</f>
        <v>Arroz grano corto</v>
      </c>
      <c r="C2" s="5" t="str">
        <f aca="false" t="array" ref="C2:C2">INDEX(Productos!$A:C,MATCH($A2,Productos!$A:$A),COLUMN(C2))</f>
        <v>Arroz crudo grano corto, especial para sushi</v>
      </c>
      <c r="D2" s="4" t="n">
        <f aca="false">IFERROR(__xludf.dummyfunction("COUNT(FILTER(Ingredientes!A:A,Ingredientes!A:A=A2))"),0)</f>
        <v>0</v>
      </c>
      <c r="E2" s="8" t="str">
        <f aca="false">IFERROR(__xludf.dummyfunction("TRANSPOSE(IFERROR((FILTER(Ingredientes!D:D,A2=Ingredientes!A:A))))"),"")</f>
        <v/>
      </c>
      <c r="F2" s="8"/>
      <c r="G2" s="8"/>
      <c r="H2" s="8"/>
      <c r="I2" s="8"/>
      <c r="J2" s="8"/>
      <c r="K2" s="4" t="n">
        <f aca="false">IFERROR(__xludf.dummyfunction("sum(iferror(filter(Ingredientes!J:J,Ingredientes!A:A=A2)))"),0)</f>
        <v>0</v>
      </c>
      <c r="L2" s="4" t="n">
        <f aca="false">IFERROR(__xludf.dummyfunction("sum(filter(Productos!K:K,Productos!A:A=A2))"),10)</f>
        <v>10</v>
      </c>
      <c r="M2" s="4" t="str">
        <f aca="false" t="array" ref="M2:M2">INDEX(Productos!$AC:AC,MATCH($A2,Productos!$A:$A),1)</f>
        <v>fabrica</v>
      </c>
      <c r="N2" s="4"/>
      <c r="O2" s="4"/>
      <c r="P2" s="4"/>
      <c r="Q2" s="4"/>
      <c r="R2" s="4"/>
      <c r="S2" s="4"/>
      <c r="T2" s="4"/>
      <c r="U2" s="4"/>
      <c r="V2" s="4"/>
      <c r="W2" s="4"/>
      <c r="X2" s="4"/>
      <c r="Y2" s="4"/>
      <c r="Z2" s="4"/>
      <c r="AA2" s="4"/>
      <c r="AB2" s="4"/>
    </row>
    <row r="3" customFormat="false" ht="15.75" hidden="false" customHeight="true" outlineLevel="0" collapsed="false">
      <c r="A3" s="4" t="n">
        <v>1002</v>
      </c>
      <c r="B3" s="4" t="str">
        <f aca="false" t="array" ref="B3:B3">INDEX(Productos!$A:B,MATCH($A3,Productos!$A:$A),COLUMN(B3))</f>
        <v>Vinagre de arroz</v>
      </c>
      <c r="C3" s="5" t="n">
        <f aca="false">INDEX(Productos!$A:C,MATCH($A3,Productos!$A:$A),COLUMN(C3))</f>
        <v>0</v>
      </c>
      <c r="D3" s="4" t="n">
        <f aca="false">IFERROR(__xludf.dummyfunction("COUNT(FILTER(Ingredientes!A:A,Ingredientes!A:A=A3))"),0)</f>
        <v>0</v>
      </c>
      <c r="E3" s="8" t="str">
        <f aca="false">IFERROR(__xludf.dummyfunction("TRANSPOSE(IFERROR((FILTER(Ingredientes!D:D,A3=Ingredientes!A:A))))"),"")</f>
        <v/>
      </c>
      <c r="F3" s="8"/>
      <c r="G3" s="8"/>
      <c r="H3" s="8"/>
      <c r="I3" s="8"/>
      <c r="J3" s="8"/>
      <c r="K3" s="4" t="n">
        <f aca="false">IFERROR(__xludf.dummyfunction("sum(iferror(filter(Ingredientes!J:J,Ingredientes!A:A=A3)))"),0)</f>
        <v>0</v>
      </c>
      <c r="L3" s="4" t="n">
        <f aca="false">IFERROR(__xludf.dummyfunction("sum(filter(Productos!K:K,Productos!A:A=A3))"),10)</f>
        <v>10</v>
      </c>
      <c r="M3" s="4" t="str">
        <f aca="false" t="array" ref="M3:M3">INDEX(Productos!$AC:AC,MATCH($A3,Productos!$A:$A),1)</f>
        <v>fabrica</v>
      </c>
      <c r="N3" s="4"/>
      <c r="O3" s="4"/>
      <c r="P3" s="4"/>
      <c r="Q3" s="4"/>
      <c r="R3" s="4"/>
      <c r="S3" s="4"/>
      <c r="T3" s="4"/>
      <c r="U3" s="4"/>
      <c r="V3" s="4"/>
      <c r="W3" s="4"/>
      <c r="X3" s="4"/>
      <c r="Y3" s="4"/>
      <c r="Z3" s="4"/>
      <c r="AA3" s="4"/>
      <c r="AB3" s="4"/>
    </row>
    <row r="4" customFormat="false" ht="15.75" hidden="false" customHeight="true" outlineLevel="0" collapsed="false">
      <c r="A4" s="4" t="n">
        <v>1003</v>
      </c>
      <c r="B4" s="4" t="str">
        <f aca="false" t="array" ref="B4:B4">INDEX(Productos!$A:B,MATCH($A4,Productos!$A:$A),COLUMN(B4))</f>
        <v>Azúcar</v>
      </c>
      <c r="C4" s="5" t="str">
        <f aca="false" t="array" ref="C4:C4">INDEX(Productos!$A:C,MATCH($A4,Productos!$A:$A),COLUMN(C4))</f>
        <v>Azúcar granel</v>
      </c>
      <c r="D4" s="4" t="n">
        <f aca="false">IFERROR(__xludf.dummyfunction("COUNT(FILTER(Ingredientes!A:A,Ingredientes!A:A=A4))"),0)</f>
        <v>0</v>
      </c>
      <c r="E4" s="8" t="str">
        <f aca="false">IFERROR(__xludf.dummyfunction("TRANSPOSE(IFERROR((FILTER(Ingredientes!D:D,A4=Ingredientes!A:A))))"),"")</f>
        <v/>
      </c>
      <c r="F4" s="8"/>
      <c r="G4" s="8"/>
      <c r="H4" s="8"/>
      <c r="I4" s="8"/>
      <c r="J4" s="8"/>
      <c r="K4" s="4" t="n">
        <f aca="false">IFERROR(__xludf.dummyfunction("sum(iferror(filter(Ingredientes!J:J,Ingredientes!A:A=A4)))"),0)</f>
        <v>0</v>
      </c>
      <c r="L4" s="4" t="n">
        <f aca="false">IFERROR(__xludf.dummyfunction("sum(filter(Productos!K:K,Productos!A:A=A4))"),100)</f>
        <v>100</v>
      </c>
      <c r="M4" s="4" t="str">
        <f aca="false" t="array" ref="M4:M4">INDEX(Productos!$AC:AC,MATCH($A4,Productos!$A:$A),1)</f>
        <v>fabrica</v>
      </c>
      <c r="N4" s="4"/>
      <c r="O4" s="4"/>
      <c r="P4" s="4"/>
      <c r="Q4" s="4"/>
      <c r="R4" s="4"/>
      <c r="S4" s="4"/>
      <c r="T4" s="4"/>
      <c r="U4" s="4"/>
      <c r="V4" s="4"/>
      <c r="W4" s="4"/>
      <c r="X4" s="4"/>
      <c r="Y4" s="4"/>
      <c r="Z4" s="4"/>
      <c r="AA4" s="4"/>
      <c r="AB4" s="4"/>
    </row>
    <row r="5" customFormat="false" ht="15.75" hidden="false" customHeight="true" outlineLevel="0" collapsed="false">
      <c r="A5" s="4" t="n">
        <v>1004</v>
      </c>
      <c r="B5" s="4" t="str">
        <f aca="false" t="array" ref="B5:B5">INDEX(Productos!$A:B,MATCH($A5,Productos!$A:$A),COLUMN(B5))</f>
        <v>Sal</v>
      </c>
      <c r="C5" s="5" t="str">
        <f aca="false" t="array" ref="C5:C5">INDEX(Productos!$A:C,MATCH($A5,Productos!$A:$A),COLUMN(C5))</f>
        <v>Sal granel</v>
      </c>
      <c r="D5" s="4" t="n">
        <f aca="false">IFERROR(__xludf.dummyfunction("COUNT(FILTER(Ingredientes!A:A,Ingredientes!A:A=A5))"),0)</f>
        <v>0</v>
      </c>
      <c r="E5" s="8" t="str">
        <f aca="false">IFERROR(__xludf.dummyfunction("TRANSPOSE(IFERROR((FILTER(Ingredientes!D:D,A5=Ingredientes!A:A))))"),"")</f>
        <v/>
      </c>
      <c r="F5" s="8"/>
      <c r="G5" s="8"/>
      <c r="H5" s="8"/>
      <c r="I5" s="8"/>
      <c r="J5" s="8"/>
      <c r="K5" s="4" t="n">
        <f aca="false">IFERROR(__xludf.dummyfunction("sum(iferror(filter(Ingredientes!J:J,Ingredientes!A:A=A5)))"),0)</f>
        <v>0</v>
      </c>
      <c r="L5" s="4" t="n">
        <f aca="false">IFERROR(__xludf.dummyfunction("sum(filter(Productos!K:K,Productos!A:A=A5))"),100)</f>
        <v>100</v>
      </c>
      <c r="M5" s="4" t="str">
        <f aca="false" t="array" ref="M5:M5">INDEX(Productos!$AC:AC,MATCH($A5,Productos!$A:$A),1)</f>
        <v>fabrica</v>
      </c>
      <c r="N5" s="4"/>
      <c r="O5" s="4"/>
      <c r="P5" s="4"/>
      <c r="Q5" s="4"/>
      <c r="R5" s="4"/>
      <c r="S5" s="4"/>
      <c r="T5" s="4"/>
      <c r="U5" s="4"/>
      <c r="V5" s="4"/>
      <c r="W5" s="4"/>
      <c r="X5" s="4"/>
      <c r="Y5" s="4"/>
      <c r="Z5" s="4"/>
      <c r="AA5" s="4"/>
      <c r="AB5" s="4"/>
    </row>
    <row r="6" customFormat="false" ht="15.75" hidden="false" customHeight="true" outlineLevel="0" collapsed="false">
      <c r="A6" s="4" t="n">
        <v>1005</v>
      </c>
      <c r="B6" s="4" t="str">
        <f aca="false" t="array" ref="B6:B6">INDEX(Productos!$A:B,MATCH($A6,Productos!$A:$A),COLUMN(B6))</f>
        <v>Kanikama entero</v>
      </c>
      <c r="C6" s="5" t="n">
        <f aca="false">INDEX(Productos!$A:C,MATCH($A6,Productos!$A:$A),COLUMN(C6))</f>
        <v>0</v>
      </c>
      <c r="D6" s="4" t="n">
        <f aca="false">IFERROR(__xludf.dummyfunction("COUNT(FILTER(Ingredientes!A:A,Ingredientes!A:A=A6))"),0)</f>
        <v>0</v>
      </c>
      <c r="E6" s="8" t="str">
        <f aca="false">IFERROR(__xludf.dummyfunction("TRANSPOSE(IFERROR((FILTER(Ingredientes!D:D,A6=Ingredientes!A:A))))"),"")</f>
        <v/>
      </c>
      <c r="F6" s="8"/>
      <c r="G6" s="8"/>
      <c r="H6" s="8"/>
      <c r="I6" s="8"/>
      <c r="J6" s="8"/>
      <c r="K6" s="4" t="n">
        <f aca="false">IFERROR(__xludf.dummyfunction("sum(iferror(filter(Ingredientes!J:J,Ingredientes!A:A=A6)))"),0)</f>
        <v>0</v>
      </c>
      <c r="L6" s="4" t="n">
        <f aca="false">IFERROR(__xludf.dummyfunction("sum(filter(Productos!K:K,Productos!A:A=A6))"),5)</f>
        <v>5</v>
      </c>
      <c r="M6" s="4" t="str">
        <f aca="false" t="array" ref="M6:M6">INDEX(Productos!$AC:AC,MATCH($A6,Productos!$A:$A),1)</f>
        <v>fabrica</v>
      </c>
      <c r="N6" s="4"/>
      <c r="O6" s="4"/>
      <c r="P6" s="4"/>
      <c r="Q6" s="4"/>
      <c r="R6" s="4"/>
      <c r="S6" s="4"/>
      <c r="T6" s="4"/>
      <c r="U6" s="4"/>
      <c r="V6" s="4"/>
      <c r="W6" s="4"/>
      <c r="X6" s="4"/>
      <c r="Y6" s="4"/>
      <c r="Z6" s="4"/>
      <c r="AA6" s="4"/>
      <c r="AB6" s="4"/>
    </row>
    <row r="7" customFormat="false" ht="15.75" hidden="false" customHeight="true" outlineLevel="0" collapsed="false">
      <c r="A7" s="4" t="n">
        <v>1006</v>
      </c>
      <c r="B7" s="4" t="str">
        <f aca="false" t="array" ref="B7:B7">INDEX(Productos!$A:B,MATCH($A7,Productos!$A:$A),COLUMN(B7))</f>
        <v>Camarón</v>
      </c>
      <c r="C7" s="5" t="str">
        <f aca="false" t="array" ref="C7:C7">INDEX(Productos!$A:C,MATCH($A7,Productos!$A:$A),COLUMN(C7))</f>
        <v>Camarón congelado a granel</v>
      </c>
      <c r="D7" s="4" t="n">
        <f aca="false">IFERROR(__xludf.dummyfunction("COUNT(FILTER(Ingredientes!A:A,Ingredientes!A:A=A7))"),0)</f>
        <v>0</v>
      </c>
      <c r="E7" s="8" t="str">
        <f aca="false">IFERROR(__xludf.dummyfunction("TRANSPOSE(IFERROR((FILTER(Ingredientes!D:D,A7=Ingredientes!A:A))))"),"")</f>
        <v/>
      </c>
      <c r="F7" s="8"/>
      <c r="G7" s="8"/>
      <c r="H7" s="8"/>
      <c r="I7" s="8"/>
      <c r="J7" s="8"/>
      <c r="K7" s="4" t="n">
        <f aca="false">IFERROR(__xludf.dummyfunction("sum(iferror(filter(Ingredientes!J:J,Ingredientes!A:A=A7)))"),0)</f>
        <v>0</v>
      </c>
      <c r="L7" s="4" t="n">
        <f aca="false">IFERROR(__xludf.dummyfunction("sum(filter(Productos!K:K,Productos!A:A=A7))"),1)</f>
        <v>1</v>
      </c>
      <c r="M7" s="4" t="str">
        <f aca="false" t="array" ref="M7:M7">INDEX(Productos!$AC:AC,MATCH($A7,Productos!$A:$A),1)</f>
        <v>fabrica</v>
      </c>
      <c r="N7" s="4"/>
      <c r="O7" s="4"/>
      <c r="P7" s="4"/>
      <c r="Q7" s="4"/>
      <c r="R7" s="4"/>
      <c r="S7" s="4"/>
      <c r="T7" s="4"/>
      <c r="U7" s="4"/>
      <c r="V7" s="4"/>
      <c r="W7" s="4"/>
      <c r="X7" s="4"/>
      <c r="Y7" s="4"/>
      <c r="Z7" s="4"/>
      <c r="AA7" s="4"/>
      <c r="AB7" s="4"/>
    </row>
    <row r="8" customFormat="false" ht="15.75" hidden="false" customHeight="true" outlineLevel="0" collapsed="false">
      <c r="A8" s="4" t="n">
        <v>1007</v>
      </c>
      <c r="B8" s="4" t="str">
        <f aca="false" t="array" ref="B8:B8">INDEX(Productos!$A:B,MATCH($A8,Productos!$A:$A),COLUMN(B8))</f>
        <v>Filete de salmón</v>
      </c>
      <c r="C8" s="5" t="str">
        <f aca="false" t="array" ref="C8:C8">INDEX(Productos!$A:C,MATCH($A8,Productos!$A:$A),COLUMN(C8))</f>
        <v>Filete de salmón fresco</v>
      </c>
      <c r="D8" s="4" t="n">
        <f aca="false">IFERROR(__xludf.dummyfunction("COUNT(FILTER(Ingredientes!A:A,Ingredientes!A:A=A8))"),0)</f>
        <v>0</v>
      </c>
      <c r="E8" s="8" t="str">
        <f aca="false">IFERROR(__xludf.dummyfunction("TRANSPOSE(IFERROR((FILTER(Ingredientes!D:D,A8=Ingredientes!A:A))))"),"")</f>
        <v/>
      </c>
      <c r="F8" s="8"/>
      <c r="G8" s="8"/>
      <c r="H8" s="8"/>
      <c r="I8" s="8"/>
      <c r="J8" s="8"/>
      <c r="K8" s="4" t="n">
        <f aca="false">IFERROR(__xludf.dummyfunction("sum(iferror(filter(Ingredientes!J:J,Ingredientes!A:A=A8)))"),0)</f>
        <v>0</v>
      </c>
      <c r="L8" s="4" t="n">
        <f aca="false">IFERROR(__xludf.dummyfunction("sum(filter(Productos!K:K,Productos!A:A=A8))"),8)</f>
        <v>8</v>
      </c>
      <c r="M8" s="4" t="str">
        <f aca="false" t="array" ref="M8:M8">INDEX(Productos!$AC:AC,MATCH($A8,Productos!$A:$A),1)</f>
        <v>fabrica</v>
      </c>
      <c r="N8" s="4"/>
      <c r="O8" s="4"/>
      <c r="P8" s="4"/>
      <c r="Q8" s="4"/>
      <c r="R8" s="4"/>
      <c r="S8" s="4"/>
      <c r="T8" s="4"/>
      <c r="U8" s="4"/>
      <c r="V8" s="4"/>
      <c r="W8" s="4"/>
      <c r="X8" s="4"/>
      <c r="Y8" s="4"/>
      <c r="Z8" s="4"/>
      <c r="AA8" s="4"/>
      <c r="AB8" s="4"/>
    </row>
    <row r="9" customFormat="false" ht="15.75" hidden="false" customHeight="true" outlineLevel="0" collapsed="false">
      <c r="A9" s="4" t="n">
        <v>1008</v>
      </c>
      <c r="B9" s="4" t="str">
        <f aca="false" t="array" ref="B9:B9">INDEX(Productos!$A:B,MATCH($A9,Productos!$A:$A),COLUMN(B9))</f>
        <v>Filete de salmón ahumado</v>
      </c>
      <c r="C9" s="5" t="str">
        <f aca="false" t="array" ref="C9:C9">INDEX(Productos!$A:C,MATCH($A9,Productos!$A:$A),COLUMN(C9))</f>
        <v>Filete de salmón ahudo para preparaciones</v>
      </c>
      <c r="D9" s="4" t="n">
        <f aca="false">IFERROR(__xludf.dummyfunction("COUNT(FILTER(Ingredientes!A:A,Ingredientes!A:A=A9))"),0)</f>
        <v>0</v>
      </c>
      <c r="E9" s="8" t="str">
        <f aca="false">IFERROR(__xludf.dummyfunction("TRANSPOSE(IFERROR((FILTER(Ingredientes!D:D,A9=Ingredientes!A:A))))"),"")</f>
        <v/>
      </c>
      <c r="F9" s="8"/>
      <c r="G9" s="8"/>
      <c r="H9" s="8"/>
      <c r="I9" s="8"/>
      <c r="J9" s="8"/>
      <c r="K9" s="4" t="n">
        <f aca="false">IFERROR(__xludf.dummyfunction("sum(iferror(filter(Ingredientes!J:J,Ingredientes!A:A=A9)))"),0)</f>
        <v>0</v>
      </c>
      <c r="L9" s="4" t="n">
        <f aca="false">IFERROR(__xludf.dummyfunction("sum(filter(Productos!K:K,Productos!A:A=A9))"),10)</f>
        <v>10</v>
      </c>
      <c r="M9" s="4" t="str">
        <f aca="false" t="array" ref="M9:M9">INDEX(Productos!$AC:AC,MATCH($A9,Productos!$A:$A),1)</f>
        <v>fabrica</v>
      </c>
      <c r="N9" s="4"/>
      <c r="O9" s="4"/>
      <c r="P9" s="4"/>
      <c r="Q9" s="4"/>
      <c r="R9" s="4"/>
      <c r="S9" s="4"/>
      <c r="T9" s="4"/>
      <c r="U9" s="4"/>
      <c r="V9" s="4"/>
      <c r="W9" s="4"/>
      <c r="X9" s="4"/>
      <c r="Y9" s="4"/>
      <c r="Z9" s="4"/>
      <c r="AA9" s="4"/>
      <c r="AB9" s="4"/>
    </row>
    <row r="10" customFormat="false" ht="15.75" hidden="false" customHeight="true" outlineLevel="0" collapsed="false">
      <c r="A10" s="4" t="n">
        <v>1009</v>
      </c>
      <c r="B10" s="4" t="str">
        <f aca="false" t="array" ref="B10:B10">INDEX(Productos!$A:B,MATCH($A10,Productos!$A:$A),COLUMN(B10))</f>
        <v>Filete de atún</v>
      </c>
      <c r="C10" s="5" t="str">
        <f aca="false" t="array" ref="C10:C10">INDEX(Productos!$A:C,MATCH($A10,Productos!$A:$A),COLUMN(C10))</f>
        <v>Filete de atún fresco</v>
      </c>
      <c r="D10" s="4" t="n">
        <f aca="false">IFERROR(__xludf.dummyfunction("COUNT(FILTER(Ingredientes!A:A,Ingredientes!A:A=A10))"),0)</f>
        <v>0</v>
      </c>
      <c r="E10" s="8" t="str">
        <f aca="false">IFERROR(__xludf.dummyfunction("TRANSPOSE(IFERROR((FILTER(Ingredientes!D:D,A10=Ingredientes!A:A))))"),"")</f>
        <v/>
      </c>
      <c r="F10" s="8"/>
      <c r="G10" s="8"/>
      <c r="H10" s="8"/>
      <c r="I10" s="8"/>
      <c r="J10" s="8"/>
      <c r="K10" s="4" t="n">
        <f aca="false">IFERROR(__xludf.dummyfunction("sum(iferror(filter(Ingredientes!J:J,Ingredientes!A:A=A10)))"),0)</f>
        <v>0</v>
      </c>
      <c r="L10" s="4" t="n">
        <f aca="false">IFERROR(__xludf.dummyfunction("sum(filter(Productos!K:K,Productos!A:A=A10))"),3)</f>
        <v>3</v>
      </c>
      <c r="M10" s="4" t="str">
        <f aca="false" t="array" ref="M10:M10">INDEX(Productos!$AC:AC,MATCH($A10,Productos!$A:$A),1)</f>
        <v>fabrica</v>
      </c>
      <c r="N10" s="4"/>
      <c r="O10" s="4"/>
      <c r="P10" s="4"/>
      <c r="Q10" s="4"/>
      <c r="R10" s="4"/>
      <c r="S10" s="4"/>
      <c r="T10" s="4"/>
      <c r="U10" s="4"/>
      <c r="V10" s="4"/>
      <c r="W10" s="4"/>
      <c r="X10" s="4"/>
      <c r="Y10" s="4"/>
      <c r="Z10" s="4"/>
      <c r="AA10" s="4"/>
      <c r="AB10" s="4"/>
    </row>
    <row r="11" customFormat="false" ht="15.75" hidden="false" customHeight="true" outlineLevel="0" collapsed="false">
      <c r="A11" s="4" t="n">
        <v>1010</v>
      </c>
      <c r="B11" s="4" t="str">
        <f aca="false" t="array" ref="B11:B11">INDEX(Productos!$A:B,MATCH($A11,Productos!$A:$A),COLUMN(B11))</f>
        <v>Palta</v>
      </c>
      <c r="C11" s="5" t="str">
        <f aca="false" t="array" ref="C11:C11">INDEX(Productos!$A:C,MATCH($A11,Productos!$A:$A),COLUMN(C11))</f>
        <v>Palta entera</v>
      </c>
      <c r="D11" s="4" t="n">
        <f aca="false">IFERROR(__xludf.dummyfunction("COUNT(FILTER(Ingredientes!A:A,Ingredientes!A:A=A11))"),0)</f>
        <v>0</v>
      </c>
      <c r="E11" s="8" t="str">
        <f aca="false">IFERROR(__xludf.dummyfunction("TRANSPOSE(IFERROR((FILTER(Ingredientes!D:D,A11=Ingredientes!A:A))))"),"")</f>
        <v/>
      </c>
      <c r="F11" s="8"/>
      <c r="G11" s="8"/>
      <c r="H11" s="8"/>
      <c r="I11" s="8"/>
      <c r="J11" s="8"/>
      <c r="K11" s="4" t="n">
        <f aca="false">IFERROR(__xludf.dummyfunction("sum(iferror(filter(Ingredientes!J:J,Ingredientes!A:A=A11)))"),0)</f>
        <v>0</v>
      </c>
      <c r="L11" s="4" t="n">
        <f aca="false">IFERROR(__xludf.dummyfunction("sum(filter(Productos!K:K,Productos!A:A=A11))"),5)</f>
        <v>5</v>
      </c>
      <c r="M11" s="4" t="str">
        <f aca="false" t="array" ref="M11:M11">INDEX(Productos!$AC:AC,MATCH($A11,Productos!$A:$A),1)</f>
        <v>fabrica</v>
      </c>
      <c r="N11" s="4"/>
      <c r="O11" s="4"/>
      <c r="P11" s="4"/>
      <c r="Q11" s="4"/>
      <c r="R11" s="4"/>
      <c r="S11" s="4"/>
      <c r="T11" s="4"/>
      <c r="U11" s="4"/>
      <c r="V11" s="4"/>
      <c r="W11" s="4"/>
      <c r="X11" s="4"/>
      <c r="Y11" s="4"/>
      <c r="Z11" s="4"/>
      <c r="AA11" s="4"/>
      <c r="AB11" s="4"/>
    </row>
    <row r="12" customFormat="false" ht="15.75" hidden="false" customHeight="true" outlineLevel="0" collapsed="false">
      <c r="A12" s="4" t="n">
        <v>1011</v>
      </c>
      <c r="B12" s="4" t="str">
        <f aca="false" t="array" ref="B12:B12">INDEX(Productos!$A:B,MATCH($A12,Productos!$A:$A),COLUMN(B12))</f>
        <v>Sésamo</v>
      </c>
      <c r="C12" s="5" t="str">
        <f aca="false" t="array" ref="C12:C12">INDEX(Productos!$A:C,MATCH($A12,Productos!$A:$A),COLUMN(C12))</f>
        <v>Sésamo granel</v>
      </c>
      <c r="D12" s="4" t="n">
        <f aca="false">IFERROR(__xludf.dummyfunction("COUNT(FILTER(Ingredientes!A:A,Ingredientes!A:A=A12))"),0)</f>
        <v>0</v>
      </c>
      <c r="E12" s="8" t="str">
        <f aca="false">IFERROR(__xludf.dummyfunction("TRANSPOSE(IFERROR((FILTER(Ingredientes!D:D,A12=Ingredientes!A:A))))"),"")</f>
        <v/>
      </c>
      <c r="F12" s="8"/>
      <c r="G12" s="8"/>
      <c r="H12" s="8"/>
      <c r="I12" s="8"/>
      <c r="J12" s="8"/>
      <c r="K12" s="4" t="n">
        <f aca="false">IFERROR(__xludf.dummyfunction("sum(iferror(filter(Ingredientes!J:J,Ingredientes!A:A=A12)))"),0)</f>
        <v>0</v>
      </c>
      <c r="L12" s="4" t="n">
        <f aca="false">IFERROR(__xludf.dummyfunction("sum(filter(Productos!K:K,Productos!A:A=A12))"),4)</f>
        <v>4</v>
      </c>
      <c r="M12" s="4" t="str">
        <f aca="false" t="array" ref="M12:M12">INDEX(Productos!$AC:AC,MATCH($A12,Productos!$A:$A),1)</f>
        <v>fabrica</v>
      </c>
      <c r="N12" s="4"/>
      <c r="O12" s="4"/>
      <c r="P12" s="4"/>
      <c r="Q12" s="4"/>
      <c r="R12" s="4"/>
      <c r="S12" s="4"/>
      <c r="T12" s="4"/>
      <c r="U12" s="4"/>
      <c r="V12" s="4"/>
      <c r="W12" s="4"/>
      <c r="X12" s="4"/>
      <c r="Y12" s="4"/>
      <c r="Z12" s="4"/>
      <c r="AA12" s="4"/>
      <c r="AB12" s="4"/>
    </row>
    <row r="13" customFormat="false" ht="15.75" hidden="false" customHeight="true" outlineLevel="0" collapsed="false">
      <c r="A13" s="4" t="n">
        <v>1012</v>
      </c>
      <c r="B13" s="4" t="str">
        <f aca="false" t="array" ref="B13:B13">INDEX(Productos!$A:B,MATCH($A13,Productos!$A:$A),COLUMN(B13))</f>
        <v>Queso crema</v>
      </c>
      <c r="C13" s="5" t="str">
        <f aca="false" t="array" ref="C13:C13">INDEX(Productos!$A:C,MATCH($A13,Productos!$A:$A),COLUMN(C13))</f>
        <v>Queso crema granel</v>
      </c>
      <c r="D13" s="4" t="n">
        <f aca="false">IFERROR(__xludf.dummyfunction("COUNT(FILTER(Ingredientes!A:A,Ingredientes!A:A=A13))"),0)</f>
        <v>0</v>
      </c>
      <c r="E13" s="8" t="str">
        <f aca="false">IFERROR(__xludf.dummyfunction("TRANSPOSE(IFERROR((FILTER(Ingredientes!D:D,A13=Ingredientes!A:A))))"),"")</f>
        <v/>
      </c>
      <c r="F13" s="8"/>
      <c r="G13" s="8"/>
      <c r="H13" s="8"/>
      <c r="I13" s="8"/>
      <c r="J13" s="8"/>
      <c r="K13" s="4" t="n">
        <f aca="false">IFERROR(__xludf.dummyfunction("sum(iferror(filter(Ingredientes!J:J,Ingredientes!A:A=A13)))"),0)</f>
        <v>0</v>
      </c>
      <c r="L13" s="4" t="n">
        <f aca="false">IFERROR(__xludf.dummyfunction("sum(filter(Productos!K:K,Productos!A:A=A13))"),7)</f>
        <v>7</v>
      </c>
      <c r="M13" s="4" t="str">
        <f aca="false" t="array" ref="M13:M13">INDEX(Productos!$AC:AC,MATCH($A13,Productos!$A:$A),1)</f>
        <v>fabrica</v>
      </c>
      <c r="N13" s="4"/>
      <c r="O13" s="4"/>
      <c r="P13" s="4"/>
      <c r="Q13" s="4"/>
      <c r="R13" s="4"/>
      <c r="S13" s="4"/>
      <c r="T13" s="4"/>
      <c r="U13" s="4"/>
      <c r="V13" s="4"/>
      <c r="W13" s="4"/>
      <c r="X13" s="4"/>
      <c r="Y13" s="4"/>
      <c r="Z13" s="4"/>
      <c r="AA13" s="4"/>
      <c r="AB13" s="4"/>
    </row>
    <row r="14" customFormat="false" ht="15.75" hidden="false" customHeight="true" outlineLevel="0" collapsed="false">
      <c r="A14" s="4" t="n">
        <v>1013</v>
      </c>
      <c r="B14" s="4" t="str">
        <f aca="false" t="array" ref="B14:B14">INDEX(Productos!$A:B,MATCH($A14,Productos!$A:$A),COLUMN(B14))</f>
        <v>Masago</v>
      </c>
      <c r="C14" s="5" t="str">
        <f aca="false" t="array" ref="C14:C14">INDEX(Productos!$A:C,MATCH($A14,Productos!$A:$A),COLUMN(C14))</f>
        <v>Huevos de Capelán</v>
      </c>
      <c r="D14" s="4" t="n">
        <f aca="false">IFERROR(__xludf.dummyfunction("COUNT(FILTER(Ingredientes!A:A,Ingredientes!A:A=A14))"),0)</f>
        <v>0</v>
      </c>
      <c r="E14" s="8" t="str">
        <f aca="false">IFERROR(__xludf.dummyfunction("TRANSPOSE(IFERROR((FILTER(Ingredientes!D:D,A14=Ingredientes!A:A))))"),"")</f>
        <v/>
      </c>
      <c r="F14" s="8"/>
      <c r="G14" s="8"/>
      <c r="H14" s="8"/>
      <c r="I14" s="8"/>
      <c r="J14" s="8"/>
      <c r="K14" s="4" t="n">
        <f aca="false">IFERROR(__xludf.dummyfunction("sum(iferror(filter(Ingredientes!J:J,Ingredientes!A:A=A14)))"),0)</f>
        <v>0</v>
      </c>
      <c r="L14" s="4" t="n">
        <f aca="false">IFERROR(__xludf.dummyfunction("sum(filter(Productos!K:K,Productos!A:A=A14))"),10)</f>
        <v>10</v>
      </c>
      <c r="M14" s="4" t="str">
        <f aca="false" t="array" ref="M14:M14">INDEX(Productos!$AC:AC,MATCH($A14,Productos!$A:$A),1)</f>
        <v>fabrica</v>
      </c>
      <c r="N14" s="4"/>
      <c r="O14" s="4"/>
      <c r="P14" s="4"/>
      <c r="Q14" s="4"/>
      <c r="R14" s="4"/>
      <c r="S14" s="4"/>
      <c r="T14" s="4"/>
      <c r="U14" s="4"/>
      <c r="V14" s="4"/>
      <c r="W14" s="4"/>
      <c r="X14" s="4"/>
      <c r="Y14" s="4"/>
      <c r="Z14" s="4"/>
      <c r="AA14" s="4"/>
      <c r="AB14" s="4"/>
    </row>
    <row r="15" customFormat="false" ht="15.75" hidden="false" customHeight="true" outlineLevel="0" collapsed="false">
      <c r="A15" s="4" t="n">
        <v>1014</v>
      </c>
      <c r="B15" s="4" t="str">
        <f aca="false" t="array" ref="B15:B15">INDEX(Productos!$A:B,MATCH($A15,Productos!$A:$A),COLUMN(B15))</f>
        <v>Cebollín entero</v>
      </c>
      <c r="C15" s="5" t="str">
        <f aca="false" t="array" ref="C15:C15">INDEX(Productos!$A:C,MATCH($A15,Productos!$A:$A),COLUMN(C15))</f>
        <v>Unidad de cebollín entero, con tallo y hojas</v>
      </c>
      <c r="D15" s="4" t="n">
        <f aca="false">IFERROR(__xludf.dummyfunction("COUNT(FILTER(Ingredientes!A:A,Ingredientes!A:A=A15))"),0)</f>
        <v>0</v>
      </c>
      <c r="E15" s="8" t="str">
        <f aca="false">IFERROR(__xludf.dummyfunction("TRANSPOSE(IFERROR((FILTER(Ingredientes!D:D,A15=Ingredientes!A:A))))"),"")</f>
        <v/>
      </c>
      <c r="F15" s="8"/>
      <c r="G15" s="8"/>
      <c r="H15" s="8"/>
      <c r="I15" s="8"/>
      <c r="J15" s="8"/>
      <c r="K15" s="4" t="n">
        <f aca="false">IFERROR(__xludf.dummyfunction("sum(iferror(filter(Ingredientes!J:J,Ingredientes!A:A=A15)))"),0)</f>
        <v>0</v>
      </c>
      <c r="L15" s="4" t="n">
        <f aca="false">IFERROR(__xludf.dummyfunction("sum(filter(Productos!K:K,Productos!A:A=A15))"),5)</f>
        <v>5</v>
      </c>
      <c r="M15" s="4" t="str">
        <f aca="false" t="array" ref="M15:M15">INDEX(Productos!$AC:AC,MATCH($A15,Productos!$A:$A),1)</f>
        <v>fabrica</v>
      </c>
      <c r="N15" s="4"/>
      <c r="O15" s="4"/>
      <c r="P15" s="4"/>
      <c r="Q15" s="4"/>
      <c r="R15" s="4"/>
      <c r="S15" s="4"/>
      <c r="T15" s="4"/>
      <c r="U15" s="4"/>
      <c r="V15" s="4"/>
      <c r="W15" s="4"/>
      <c r="X15" s="4"/>
      <c r="Y15" s="4"/>
      <c r="Z15" s="4"/>
      <c r="AA15" s="4"/>
      <c r="AB15" s="4"/>
    </row>
    <row r="16" customFormat="false" ht="15.75" hidden="false" customHeight="true" outlineLevel="0" collapsed="false">
      <c r="A16" s="4" t="n">
        <v>1015</v>
      </c>
      <c r="B16" s="4" t="str">
        <f aca="false" t="array" ref="B16:B16">INDEX(Productos!$A:B,MATCH($A16,Productos!$A:$A),COLUMN(B16))</f>
        <v>Ciboulette entero</v>
      </c>
      <c r="C16" s="5" t="str">
        <f aca="false" t="array" ref="C16:C16">INDEX(Productos!$A:C,MATCH($A16,Productos!$A:$A),COLUMN(C16))</f>
        <v>Ciboulette fresco a granel, entero</v>
      </c>
      <c r="D16" s="4" t="n">
        <f aca="false">IFERROR(__xludf.dummyfunction("COUNT(FILTER(Ingredientes!A:A,Ingredientes!A:A=A16))"),0)</f>
        <v>0</v>
      </c>
      <c r="E16" s="8" t="str">
        <f aca="false">IFERROR(__xludf.dummyfunction("TRANSPOSE(IFERROR((FILTER(Ingredientes!D:D,A16=Ingredientes!A:A))))"),"")</f>
        <v/>
      </c>
      <c r="F16" s="8"/>
      <c r="G16" s="8"/>
      <c r="H16" s="8"/>
      <c r="I16" s="8"/>
      <c r="J16" s="8"/>
      <c r="K16" s="4" t="n">
        <f aca="false">IFERROR(__xludf.dummyfunction("sum(iferror(filter(Ingredientes!J:J,Ingredientes!A:A=A16)))"),0)</f>
        <v>0</v>
      </c>
      <c r="L16" s="4" t="n">
        <f aca="false">IFERROR(__xludf.dummyfunction("sum(filter(Productos!K:K,Productos!A:A=A16))"),4)</f>
        <v>4</v>
      </c>
      <c r="M16" s="4" t="str">
        <f aca="false" t="array" ref="M16:M16">INDEX(Productos!$AC:AC,MATCH($A16,Productos!$A:$A),1)</f>
        <v>fabrica</v>
      </c>
      <c r="N16" s="4"/>
      <c r="O16" s="4"/>
      <c r="P16" s="4"/>
      <c r="Q16" s="4"/>
      <c r="R16" s="4"/>
      <c r="S16" s="4"/>
      <c r="T16" s="4"/>
      <c r="U16" s="4"/>
      <c r="V16" s="4"/>
      <c r="W16" s="4"/>
      <c r="X16" s="4"/>
      <c r="Y16" s="4"/>
      <c r="Z16" s="4"/>
      <c r="AA16" s="4"/>
      <c r="AB16" s="4"/>
    </row>
    <row r="17" customFormat="false" ht="15.75" hidden="false" customHeight="true" outlineLevel="0" collapsed="false">
      <c r="A17" s="4" t="n">
        <v>1016</v>
      </c>
      <c r="B17" s="4" t="str">
        <f aca="false" t="array" ref="B17:B17">INDEX(Productos!$A:B,MATCH($A17,Productos!$A:$A),COLUMN(B17))</f>
        <v>Nori entero</v>
      </c>
      <c r="C17" s="5" t="str">
        <f aca="false" t="array" ref="C17:C17">INDEX(Productos!$A:C,MATCH($A17,Productos!$A:$A),COLUMN(C17))</f>
        <v>Alga Nori deshidratada entera</v>
      </c>
      <c r="D17" s="4" t="n">
        <f aca="false">IFERROR(__xludf.dummyfunction("COUNT(FILTER(Ingredientes!A:A,Ingredientes!A:A=A17))"),0)</f>
        <v>0</v>
      </c>
      <c r="E17" s="8" t="str">
        <f aca="false">IFERROR(__xludf.dummyfunction("TRANSPOSE(IFERROR((FILTER(Ingredientes!D:D,A17=Ingredientes!A:A))))"),"")</f>
        <v/>
      </c>
      <c r="F17" s="8"/>
      <c r="G17" s="8"/>
      <c r="H17" s="8"/>
      <c r="I17" s="8"/>
      <c r="J17" s="8"/>
      <c r="K17" s="4" t="n">
        <f aca="false">IFERROR(__xludf.dummyfunction("sum(iferror(filter(Ingredientes!J:J,Ingredientes!A:A=A17)))"),0)</f>
        <v>0</v>
      </c>
      <c r="L17" s="4" t="n">
        <f aca="false">IFERROR(__xludf.dummyfunction("sum(filter(Productos!K:K,Productos!A:A=A17))"),8)</f>
        <v>8</v>
      </c>
      <c r="M17" s="4" t="str">
        <f aca="false" t="array" ref="M17:M17">INDEX(Productos!$AC:AC,MATCH($A17,Productos!$A:$A),1)</f>
        <v>fabrica</v>
      </c>
      <c r="N17" s="4"/>
      <c r="O17" s="4"/>
      <c r="P17" s="4"/>
      <c r="Q17" s="4"/>
      <c r="R17" s="4"/>
      <c r="S17" s="4"/>
      <c r="T17" s="4"/>
      <c r="U17" s="4"/>
      <c r="V17" s="4"/>
      <c r="W17" s="4"/>
      <c r="X17" s="4"/>
      <c r="Y17" s="4"/>
      <c r="Z17" s="4"/>
      <c r="AA17" s="4"/>
      <c r="AB17" s="4"/>
    </row>
    <row r="18" customFormat="false" ht="15.75" hidden="false" customHeight="true" outlineLevel="0" collapsed="false">
      <c r="A18" s="4" t="n">
        <v>1101</v>
      </c>
      <c r="B18" s="4" t="str">
        <f aca="false" t="array" ref="B18:B18">INDEX(Productos!$A:B,MATCH($A18,Productos!$A:$A),COLUMN(B18))</f>
        <v>Arroz cocido</v>
      </c>
      <c r="C18" s="5" t="str">
        <f aca="false" t="array" ref="C18:C18">INDEX(Productos!$A:C,MATCH($A18,Productos!$A:$A),COLUMN(C18))</f>
        <v>Arroz cocido para sushi, con vinagre de arroz, azúcar y sal</v>
      </c>
      <c r="D18" s="4" t="n">
        <f aca="false">IFERROR(__xludf.dummyfunction("COUNT(FILTER(Ingredientes!A:A,Ingredientes!A:A=A18))"),4)</f>
        <v>4</v>
      </c>
      <c r="E18" s="8" t="str">
        <f aca="false">IFERROR(__xludf.dummyfunction("TRANSPOSE(IFERROR((FILTER(Ingredientes!D:D,A18=Ingredientes!A:A))))"),"Arroz grano corto")</f>
        <v>Arroz grano corto</v>
      </c>
      <c r="F18" s="8" t="str">
        <f aca="false">IFERROR(__xludf.dummyfunction("""COMPUTED_VALUE"""),"Azúcar")</f>
        <v>Azúcar</v>
      </c>
      <c r="G18" s="8" t="str">
        <f aca="false">IFERROR(__xludf.dummyfunction("""COMPUTED_VALUE"""),"Sal")</f>
        <v>Sal</v>
      </c>
      <c r="H18" s="8" t="str">
        <f aca="false">IFERROR(__xludf.dummyfunction("""COMPUTED_VALUE"""),"Vinagre de arroz")</f>
        <v>Vinagre de arroz</v>
      </c>
      <c r="I18" s="8"/>
      <c r="J18" s="8"/>
      <c r="K18" s="4" t="n">
        <f aca="false">IFERROR(__xludf.dummyfunction("sum(iferror(filter(Ingredientes!J:J,Ingredientes!A:A=A18)))"),17)</f>
        <v>17</v>
      </c>
      <c r="L18" s="4" t="n">
        <f aca="false">IFERROR(__xludf.dummyfunction("sum(filter(Productos!K:K,Productos!A:A=A18))"),10)</f>
        <v>10</v>
      </c>
      <c r="M18" s="4" t="str">
        <f aca="false" t="array" ref="M18:M18">INDEX(Productos!$AC:AC,MATCH($A18,Productos!$A:$A),1)</f>
        <v>fabrica</v>
      </c>
      <c r="N18" s="4"/>
      <c r="O18" s="4"/>
      <c r="P18" s="4"/>
      <c r="Q18" s="4"/>
      <c r="R18" s="4"/>
      <c r="S18" s="4"/>
      <c r="T18" s="4"/>
      <c r="U18" s="4"/>
      <c r="V18" s="4"/>
      <c r="W18" s="4"/>
      <c r="X18" s="4"/>
      <c r="Y18" s="4"/>
      <c r="Z18" s="4"/>
      <c r="AA18" s="4"/>
      <c r="AB18" s="4"/>
    </row>
    <row r="19" customFormat="false" ht="15.75" hidden="false" customHeight="true" outlineLevel="0" collapsed="false">
      <c r="A19" s="4" t="n">
        <v>1105</v>
      </c>
      <c r="B19" s="4" t="str">
        <f aca="false" t="array" ref="B19:B19">INDEX(Productos!$A:B,MATCH($A19,Productos!$A:$A),COLUMN(B19))</f>
        <v>Kanikama para roll</v>
      </c>
      <c r="C19" s="5" t="str">
        <f aca="false" t="array" ref="C19:C19">INDEX(Productos!$A:C,MATCH($A19,Productos!$A:$A),COLUMN(C19))</f>
        <v>Kanikama cortado y porcionado para un roll </v>
      </c>
      <c r="D19" s="4" t="n">
        <f aca="false">IFERROR(__xludf.dummyfunction("COUNT(FILTER(Ingredientes!A:A,Ingredientes!A:A=A19))"),1)</f>
        <v>1</v>
      </c>
      <c r="E19" s="8" t="str">
        <f aca="false">IFERROR(__xludf.dummyfunction("TRANSPOSE(IFERROR((FILTER(Ingredientes!D:D,A19=Ingredientes!A:A))))"),"Kanikama entero")</f>
        <v>Kanikama entero</v>
      </c>
      <c r="F19" s="8"/>
      <c r="G19" s="8"/>
      <c r="H19" s="8"/>
      <c r="I19" s="8"/>
      <c r="J19" s="8"/>
      <c r="K19" s="4" t="n">
        <f aca="false">IFERROR(__xludf.dummyfunction("sum(iferror(filter(Ingredientes!J:J,Ingredientes!A:A=A19)))"),1)</f>
        <v>1</v>
      </c>
      <c r="L19" s="4" t="n">
        <f aca="false">IFERROR(__xludf.dummyfunction("sum(filter(Productos!K:K,Productos!A:A=A19))"),10)</f>
        <v>10</v>
      </c>
      <c r="M19" s="4" t="str">
        <f aca="false" t="array" ref="M19:M19">INDEX(Productos!$AC:AC,MATCH($A19,Productos!$A:$A),1)</f>
        <v>fabrica</v>
      </c>
      <c r="N19" s="4"/>
      <c r="O19" s="4"/>
      <c r="P19" s="4"/>
      <c r="Q19" s="4"/>
      <c r="R19" s="4"/>
      <c r="S19" s="4"/>
      <c r="T19" s="4"/>
      <c r="U19" s="4"/>
      <c r="V19" s="4"/>
      <c r="W19" s="4"/>
      <c r="X19" s="4"/>
      <c r="Y19" s="4"/>
      <c r="Z19" s="4"/>
      <c r="AA19" s="4"/>
      <c r="AB19" s="4"/>
    </row>
    <row r="20" customFormat="false" ht="15.75" hidden="false" customHeight="true" outlineLevel="0" collapsed="false">
      <c r="A20" s="4" t="n">
        <v>1106</v>
      </c>
      <c r="B20" s="4" t="str">
        <f aca="false" t="array" ref="B20:B20">INDEX(Productos!$A:B,MATCH($A20,Productos!$A:$A),COLUMN(B20))</f>
        <v>Camarón cocido</v>
      </c>
      <c r="C20" s="5" t="str">
        <f aca="false" t="array" ref="C20:C20">INDEX(Productos!$A:C,MATCH($A20,Productos!$A:$A),COLUMN(C20))</f>
        <v>Camarón cocido al agua, porcionado para un roll o nigiri</v>
      </c>
      <c r="D20" s="4" t="n">
        <f aca="false">IFERROR(__xludf.dummyfunction("COUNT(FILTER(Ingredientes!A:A,Ingredientes!A:A=A20))"),1)</f>
        <v>1</v>
      </c>
      <c r="E20" s="8" t="str">
        <f aca="false">IFERROR(__xludf.dummyfunction("TRANSPOSE(IFERROR((FILTER(Ingredientes!D:D,A20=Ingredientes!A:A))))"),"Camarón")</f>
        <v>Camarón</v>
      </c>
      <c r="F20" s="8"/>
      <c r="G20" s="8"/>
      <c r="H20" s="8"/>
      <c r="I20" s="8"/>
      <c r="J20" s="8"/>
      <c r="K20" s="4" t="n">
        <f aca="false">IFERROR(__xludf.dummyfunction("sum(iferror(filter(Ingredientes!J:J,Ingredientes!A:A=A20)))"),1)</f>
        <v>1</v>
      </c>
      <c r="L20" s="4" t="n">
        <f aca="false">IFERROR(__xludf.dummyfunction("sum(filter(Productos!K:K,Productos!A:A=A20))"),100)</f>
        <v>100</v>
      </c>
      <c r="M20" s="4" t="str">
        <f aca="false" t="array" ref="M20:M20">INDEX(Productos!$AC:AC,MATCH($A20,Productos!$A:$A),1)</f>
        <v>fabrica</v>
      </c>
      <c r="N20" s="4"/>
      <c r="O20" s="4"/>
      <c r="P20" s="4"/>
      <c r="Q20" s="4"/>
      <c r="R20" s="4"/>
      <c r="S20" s="4"/>
      <c r="T20" s="4"/>
      <c r="U20" s="4"/>
      <c r="V20" s="4"/>
      <c r="W20" s="4"/>
      <c r="X20" s="4"/>
      <c r="Y20" s="4"/>
      <c r="Z20" s="4"/>
      <c r="AA20" s="4"/>
      <c r="AB20" s="4"/>
    </row>
    <row r="21" customFormat="false" ht="15.75" hidden="false" customHeight="true" outlineLevel="0" collapsed="false">
      <c r="A21" s="4" t="n">
        <v>1107</v>
      </c>
      <c r="B21" s="4" t="str">
        <f aca="false" t="array" ref="B21:B21">INDEX(Productos!$A:B,MATCH($A21,Productos!$A:$A),COLUMN(B21))</f>
        <v>Salmón cortado para roll</v>
      </c>
      <c r="C21" s="5" t="str">
        <f aca="false" t="array" ref="C21:C21">INDEX(Productos!$A:C,MATCH($A21,Productos!$A:$A),COLUMN(C21))</f>
        <v>Filete de salmón cortado y porcionado para un roll</v>
      </c>
      <c r="D21" s="4" t="n">
        <f aca="false">IFERROR(__xludf.dummyfunction("COUNT(FILTER(Ingredientes!A:A,Ingredientes!A:A=A21))"),1)</f>
        <v>1</v>
      </c>
      <c r="E21" s="8" t="str">
        <f aca="false">IFERROR(__xludf.dummyfunction("TRANSPOSE(IFERROR((FILTER(Ingredientes!D:D,A21=Ingredientes!A:A))))"),"Filete de salmón")</f>
        <v>Filete de salmón</v>
      </c>
      <c r="F21" s="8"/>
      <c r="G21" s="8"/>
      <c r="H21" s="8"/>
      <c r="I21" s="8"/>
      <c r="J21" s="8"/>
      <c r="K21" s="4" t="n">
        <f aca="false">IFERROR(__xludf.dummyfunction("sum(iferror(filter(Ingredientes!J:J,Ingredientes!A:A=A21)))"),1)</f>
        <v>1</v>
      </c>
      <c r="L21" s="4" t="n">
        <f aca="false">IFERROR(__xludf.dummyfunction("sum(filter(Productos!K:K,Productos!A:A=A21))"),11)</f>
        <v>11</v>
      </c>
      <c r="M21" s="4" t="str">
        <f aca="false" t="array" ref="M21:M21">INDEX(Productos!$AC:AC,MATCH($A21,Productos!$A:$A),1)</f>
        <v>fabrica</v>
      </c>
      <c r="N21" s="4"/>
      <c r="O21" s="4"/>
      <c r="P21" s="4"/>
      <c r="Q21" s="4"/>
      <c r="R21" s="4"/>
      <c r="S21" s="4"/>
      <c r="T21" s="4"/>
      <c r="U21" s="4"/>
      <c r="V21" s="4"/>
      <c r="W21" s="4"/>
      <c r="X21" s="4"/>
      <c r="Y21" s="4"/>
      <c r="Z21" s="4"/>
      <c r="AA21" s="4"/>
      <c r="AB21" s="4"/>
    </row>
    <row r="22" customFormat="false" ht="15.75" hidden="false" customHeight="true" outlineLevel="0" collapsed="false">
      <c r="A22" s="4" t="n">
        <v>1108</v>
      </c>
      <c r="B22" s="4" t="str">
        <f aca="false" t="array" ref="B22:B22">INDEX(Productos!$A:B,MATCH($A22,Productos!$A:$A),COLUMN(B22))</f>
        <v>Salmón ahumado cortado para roll</v>
      </c>
      <c r="C22" s="5" t="str">
        <f aca="false" t="array" ref="C22:C22">INDEX(Productos!$A:C,MATCH($A22,Productos!$A:$A),COLUMN(C22))</f>
        <v>Filete de salmón ahumado cortado y porcionado para un roll</v>
      </c>
      <c r="D22" s="4" t="n">
        <f aca="false">IFERROR(__xludf.dummyfunction("COUNT(FILTER(Ingredientes!A:A,Ingredientes!A:A=A22))"),1)</f>
        <v>1</v>
      </c>
      <c r="E22" s="8" t="str">
        <f aca="false">IFERROR(__xludf.dummyfunction("TRANSPOSE(IFERROR((FILTER(Ingredientes!D:D,A22=Ingredientes!A:A))))"),"Filete de salmón ahumado")</f>
        <v>Filete de salmón ahumado</v>
      </c>
      <c r="F22" s="8"/>
      <c r="G22" s="8"/>
      <c r="H22" s="8"/>
      <c r="I22" s="8"/>
      <c r="J22" s="8"/>
      <c r="K22" s="4" t="n">
        <f aca="false">IFERROR(__xludf.dummyfunction("sum(iferror(filter(Ingredientes!J:J,Ingredientes!A:A=A22)))"),1)</f>
        <v>1</v>
      </c>
      <c r="L22" s="4" t="n">
        <f aca="false">IFERROR(__xludf.dummyfunction("sum(filter(Productos!K:K,Productos!A:A=A22))"),6)</f>
        <v>6</v>
      </c>
      <c r="M22" s="4" t="str">
        <f aca="false" t="array" ref="M22:M22">INDEX(Productos!$AC:AC,MATCH($A22,Productos!$A:$A),1)</f>
        <v>fabrica</v>
      </c>
      <c r="N22" s="4"/>
      <c r="O22" s="4"/>
      <c r="P22" s="4"/>
      <c r="Q22" s="4"/>
      <c r="R22" s="4"/>
      <c r="S22" s="4"/>
      <c r="T22" s="4"/>
      <c r="U22" s="4"/>
      <c r="V22" s="4"/>
      <c r="W22" s="4"/>
      <c r="X22" s="4"/>
      <c r="Y22" s="4"/>
      <c r="Z22" s="4"/>
      <c r="AA22" s="4"/>
      <c r="AB22" s="4"/>
    </row>
    <row r="23" customFormat="false" ht="15.75" hidden="false" customHeight="true" outlineLevel="0" collapsed="false">
      <c r="A23" s="4" t="n">
        <v>1109</v>
      </c>
      <c r="B23" s="4" t="str">
        <f aca="false" t="array" ref="B23:B23">INDEX(Productos!$A:B,MATCH($A23,Productos!$A:$A),COLUMN(B23))</f>
        <v>Atún cortado para roll</v>
      </c>
      <c r="C23" s="5" t="str">
        <f aca="false" t="array" ref="C23:C23">INDEX(Productos!$A:C,MATCH($A23,Productos!$A:$A),COLUMN(C23))</f>
        <v>Filete de atún cortado y porcionado para un roll</v>
      </c>
      <c r="D23" s="4" t="n">
        <f aca="false">IFERROR(__xludf.dummyfunction("COUNT(FILTER(Ingredientes!A:A,Ingredientes!A:A=A23))"),1)</f>
        <v>1</v>
      </c>
      <c r="E23" s="8" t="str">
        <f aca="false">IFERROR(__xludf.dummyfunction("TRANSPOSE(IFERROR((FILTER(Ingredientes!D:D,A23=Ingredientes!A:A))))"),"Filete de atún")</f>
        <v>Filete de atún</v>
      </c>
      <c r="F23" s="8"/>
      <c r="G23" s="8"/>
      <c r="H23" s="8"/>
      <c r="I23" s="8"/>
      <c r="J23" s="8"/>
      <c r="K23" s="4" t="n">
        <f aca="false">IFERROR(__xludf.dummyfunction("sum(iferror(filter(Ingredientes!J:J,Ingredientes!A:A=A23)))"),1)</f>
        <v>1</v>
      </c>
      <c r="L23" s="4" t="n">
        <f aca="false">IFERROR(__xludf.dummyfunction("sum(filter(Productos!K:K,Productos!A:A=A23))"),12)</f>
        <v>12</v>
      </c>
      <c r="M23" s="4" t="str">
        <f aca="false" t="array" ref="M23:M23">INDEX(Productos!$AC:AC,MATCH($A23,Productos!$A:$A),1)</f>
        <v>fabrica</v>
      </c>
      <c r="N23" s="4"/>
      <c r="O23" s="4"/>
      <c r="P23" s="4"/>
      <c r="Q23" s="4"/>
      <c r="R23" s="4"/>
      <c r="S23" s="4"/>
      <c r="T23" s="4"/>
      <c r="U23" s="4"/>
      <c r="V23" s="4"/>
      <c r="W23" s="4"/>
      <c r="X23" s="4"/>
      <c r="Y23" s="4"/>
      <c r="Z23" s="4"/>
      <c r="AA23" s="4"/>
      <c r="AB23" s="4"/>
    </row>
    <row r="24" customFormat="false" ht="15.75" hidden="false" customHeight="true" outlineLevel="0" collapsed="false">
      <c r="A24" s="4" t="n">
        <v>1110</v>
      </c>
      <c r="B24" s="4" t="str">
        <f aca="false" t="array" ref="B24:B24">INDEX(Productos!$A:B,MATCH($A24,Productos!$A:$A),COLUMN(B24))</f>
        <v>Palta cortada para envoltura</v>
      </c>
      <c r="C24" s="5" t="str">
        <f aca="false" t="array" ref="C24:C24">INDEX(Productos!$A:C,MATCH($A24,Productos!$A:$A),COLUMN(C24))</f>
        <v>Palta fileteada para envoltura de un roll</v>
      </c>
      <c r="D24" s="4" t="n">
        <f aca="false">IFERROR(__xludf.dummyfunction("COUNT(FILTER(Ingredientes!A:A,Ingredientes!A:A=A24))"),1)</f>
        <v>1</v>
      </c>
      <c r="E24" s="8" t="str">
        <f aca="false">IFERROR(__xludf.dummyfunction("TRANSPOSE(IFERROR((FILTER(Ingredientes!D:D,A24=Ingredientes!A:A))))"),"Palta")</f>
        <v>Palta</v>
      </c>
      <c r="F24" s="8"/>
      <c r="G24" s="8"/>
      <c r="H24" s="8"/>
      <c r="I24" s="8"/>
      <c r="J24" s="8"/>
      <c r="K24" s="4" t="n">
        <f aca="false">IFERROR(__xludf.dummyfunction("sum(iferror(filter(Ingredientes!J:J,Ingredientes!A:A=A24)))"),1)</f>
        <v>1</v>
      </c>
      <c r="L24" s="4" t="n">
        <f aca="false">IFERROR(__xludf.dummyfunction("sum(filter(Productos!K:K,Productos!A:A=A24))"),6)</f>
        <v>6</v>
      </c>
      <c r="M24" s="4" t="str">
        <f aca="false" t="array" ref="M24:M24">INDEX(Productos!$AC:AC,MATCH($A24,Productos!$A:$A),1)</f>
        <v>fabrica</v>
      </c>
      <c r="N24" s="4"/>
      <c r="O24" s="4"/>
      <c r="P24" s="4"/>
      <c r="Q24" s="4"/>
      <c r="R24" s="4"/>
      <c r="S24" s="4"/>
      <c r="T24" s="4"/>
      <c r="U24" s="4"/>
      <c r="V24" s="4"/>
      <c r="W24" s="4"/>
      <c r="X24" s="4"/>
      <c r="Y24" s="4"/>
      <c r="Z24" s="4"/>
      <c r="AA24" s="4"/>
      <c r="AB24" s="4"/>
    </row>
    <row r="25" customFormat="false" ht="15.75" hidden="false" customHeight="true" outlineLevel="0" collapsed="false">
      <c r="A25" s="4" t="n">
        <v>1111</v>
      </c>
      <c r="B25" s="4" t="str">
        <f aca="false" t="array" ref="B25:B25">INDEX(Productos!$A:B,MATCH($A25,Productos!$A:$A),COLUMN(B25))</f>
        <v>Sésamo tostado</v>
      </c>
      <c r="C25" s="5" t="str">
        <f aca="false" t="array" ref="C25:C25">INDEX(Productos!$A:C,MATCH($A25,Productos!$A:$A),COLUMN(C25))</f>
        <v>Sésamo tostado</v>
      </c>
      <c r="D25" s="4" t="n">
        <f aca="false">IFERROR(__xludf.dummyfunction("COUNT(FILTER(Ingredientes!A:A,Ingredientes!A:A=A25))"),1)</f>
        <v>1</v>
      </c>
      <c r="E25" s="8" t="str">
        <f aca="false">IFERROR(__xludf.dummyfunction("TRANSPOSE(IFERROR((FILTER(Ingredientes!D:D,A25=Ingredientes!A:A))))"),"Sésamo")</f>
        <v>Sésamo</v>
      </c>
      <c r="F25" s="8"/>
      <c r="G25" s="8"/>
      <c r="H25" s="8"/>
      <c r="I25" s="8"/>
      <c r="J25" s="8"/>
      <c r="K25" s="4" t="n">
        <f aca="false">IFERROR(__xludf.dummyfunction("sum(iferror(filter(Ingredientes!J:J,Ingredientes!A:A=A25)))"),2)</f>
        <v>2</v>
      </c>
      <c r="L25" s="4" t="n">
        <f aca="false">IFERROR(__xludf.dummyfunction("sum(filter(Productos!K:K,Productos!A:A=A25))"),2)</f>
        <v>2</v>
      </c>
      <c r="M25" s="4" t="str">
        <f aca="false" t="array" ref="M25:M25">INDEX(Productos!$AC:AC,MATCH($A25,Productos!$A:$A),1)</f>
        <v>fabrica</v>
      </c>
      <c r="N25" s="4"/>
      <c r="O25" s="4"/>
      <c r="P25" s="4"/>
      <c r="Q25" s="4"/>
      <c r="R25" s="4"/>
      <c r="S25" s="4"/>
      <c r="T25" s="4"/>
      <c r="U25" s="4"/>
      <c r="V25" s="4"/>
      <c r="W25" s="4"/>
      <c r="X25" s="4"/>
      <c r="Y25" s="4"/>
      <c r="Z25" s="4"/>
      <c r="AA25" s="4"/>
      <c r="AB25" s="4"/>
    </row>
    <row r="26" customFormat="false" ht="15.75" hidden="false" customHeight="true" outlineLevel="0" collapsed="false">
      <c r="A26" s="4" t="n">
        <v>1112</v>
      </c>
      <c r="B26" s="4" t="str">
        <f aca="false" t="array" ref="B26:B26">INDEX(Productos!$A:B,MATCH($A26,Productos!$A:$A),COLUMN(B26))</f>
        <v>Queso crema para roll</v>
      </c>
      <c r="C26" s="5" t="str">
        <f aca="false" t="array" ref="C26:C26">INDEX(Productos!$A:C,MATCH($A26,Productos!$A:$A),COLUMN(C26))</f>
        <v>Queso crema porcionado para un roll o nigiri</v>
      </c>
      <c r="D26" s="4" t="n">
        <f aca="false">IFERROR(__xludf.dummyfunction("COUNT(FILTER(Ingredientes!A:A,Ingredientes!A:A=A26))"),1)</f>
        <v>1</v>
      </c>
      <c r="E26" s="8" t="str">
        <f aca="false">IFERROR(__xludf.dummyfunction("TRANSPOSE(IFERROR((FILTER(Ingredientes!D:D,A26=Ingredientes!A:A))))"),"Queso crema")</f>
        <v>Queso crema</v>
      </c>
      <c r="F26" s="8"/>
      <c r="G26" s="8"/>
      <c r="H26" s="8"/>
      <c r="I26" s="8"/>
      <c r="J26" s="8"/>
      <c r="K26" s="4" t="n">
        <f aca="false">IFERROR(__xludf.dummyfunction("sum(iferror(filter(Ingredientes!J:J,Ingredientes!A:A=A26)))"),1)</f>
        <v>1</v>
      </c>
      <c r="L26" s="4" t="n">
        <f aca="false">IFERROR(__xludf.dummyfunction("sum(filter(Productos!K:K,Productos!A:A=A26))"),20)</f>
        <v>20</v>
      </c>
      <c r="M26" s="4" t="str">
        <f aca="false" t="array" ref="M26:M26">INDEX(Productos!$AC:AC,MATCH($A26,Productos!$A:$A),1)</f>
        <v>fabrica</v>
      </c>
      <c r="N26" s="4"/>
      <c r="O26" s="4"/>
      <c r="P26" s="4"/>
      <c r="Q26" s="4"/>
      <c r="R26" s="4"/>
      <c r="S26" s="4"/>
      <c r="T26" s="4"/>
      <c r="U26" s="4"/>
      <c r="V26" s="4"/>
      <c r="W26" s="4"/>
      <c r="X26" s="4"/>
      <c r="Y26" s="4"/>
      <c r="Z26" s="4"/>
      <c r="AA26" s="4"/>
      <c r="AB26" s="4"/>
    </row>
    <row r="27" customFormat="false" ht="15.75" hidden="false" customHeight="true" outlineLevel="0" collapsed="false">
      <c r="A27" s="4" t="n">
        <v>1114</v>
      </c>
      <c r="B27" s="4" t="str">
        <f aca="false" t="array" ref="B27:B27">INDEX(Productos!$A:B,MATCH($A27,Productos!$A:$A),COLUMN(B27))</f>
        <v>Cebollín cortado para roll</v>
      </c>
      <c r="C27" s="5" t="str">
        <f aca="false" t="array" ref="C27:C27">INDEX(Productos!$A:C,MATCH($A27,Productos!$A:$A),COLUMN(C27))</f>
        <v>Cebollín cortado y porcionado para un roll</v>
      </c>
      <c r="D27" s="4" t="n">
        <f aca="false">IFERROR(__xludf.dummyfunction("COUNT(FILTER(Ingredientes!A:A,Ingredientes!A:A=A27))"),1)</f>
        <v>1</v>
      </c>
      <c r="E27" s="8" t="str">
        <f aca="false">IFERROR(__xludf.dummyfunction("TRANSPOSE(IFERROR((FILTER(Ingredientes!D:D,A27=Ingredientes!A:A))))"),"Cebollín entero")</f>
        <v>Cebollín entero</v>
      </c>
      <c r="F27" s="8"/>
      <c r="G27" s="8"/>
      <c r="H27" s="8"/>
      <c r="I27" s="8"/>
      <c r="J27" s="8"/>
      <c r="K27" s="4" t="n">
        <f aca="false">IFERROR(__xludf.dummyfunction("sum(iferror(filter(Ingredientes!J:J,Ingredientes!A:A=A27)))"),1)</f>
        <v>1</v>
      </c>
      <c r="L27" s="4" t="n">
        <f aca="false">IFERROR(__xludf.dummyfunction("sum(filter(Productos!K:K,Productos!A:A=A27))"),4)</f>
        <v>4</v>
      </c>
      <c r="M27" s="4" t="str">
        <f aca="false" t="array" ref="M27:M27">INDEX(Productos!$AC:AC,MATCH($A27,Productos!$A:$A),1)</f>
        <v>fabrica</v>
      </c>
      <c r="N27" s="4"/>
      <c r="O27" s="4"/>
      <c r="P27" s="4"/>
      <c r="Q27" s="4"/>
      <c r="R27" s="4"/>
      <c r="S27" s="4"/>
      <c r="T27" s="4"/>
      <c r="U27" s="4"/>
      <c r="V27" s="4"/>
      <c r="W27" s="4"/>
      <c r="X27" s="4"/>
      <c r="Y27" s="4"/>
      <c r="Z27" s="4"/>
      <c r="AA27" s="4"/>
      <c r="AB27" s="4"/>
    </row>
    <row r="28" customFormat="false" ht="15.75" hidden="false" customHeight="true" outlineLevel="0" collapsed="false">
      <c r="A28" s="4" t="n">
        <v>1115</v>
      </c>
      <c r="B28" s="4" t="str">
        <f aca="false" t="array" ref="B28:B28">INDEX(Productos!$A:B,MATCH($A28,Productos!$A:$A),COLUMN(B28))</f>
        <v>Ciboulette picado para roll</v>
      </c>
      <c r="C28" s="5" t="str">
        <f aca="false" t="array" ref="C28:C28">INDEX(Productos!$A:C,MATCH($A28,Productos!$A:$A),COLUMN(C28))</f>
        <v>Ciboulette cortado y porcionado para un roll</v>
      </c>
      <c r="D28" s="4" t="n">
        <f aca="false">IFERROR(__xludf.dummyfunction("COUNT(FILTER(Ingredientes!A:A,Ingredientes!A:A=A28))"),1)</f>
        <v>1</v>
      </c>
      <c r="E28" s="8" t="str">
        <f aca="false">IFERROR(__xludf.dummyfunction("TRANSPOSE(IFERROR((FILTER(Ingredientes!D:D,A28=Ingredientes!A:A))))"),"Ciboulette entero")</f>
        <v>Ciboulette entero</v>
      </c>
      <c r="F28" s="8"/>
      <c r="G28" s="8"/>
      <c r="H28" s="8"/>
      <c r="I28" s="8"/>
      <c r="J28" s="8"/>
      <c r="K28" s="4" t="n">
        <f aca="false">IFERROR(__xludf.dummyfunction("sum(iferror(filter(Ingredientes!J:J,Ingredientes!A:A=A28)))"),2)</f>
        <v>2</v>
      </c>
      <c r="L28" s="4" t="n">
        <f aca="false">IFERROR(__xludf.dummyfunction("sum(filter(Productos!K:K,Productos!A:A=A28))"),8)</f>
        <v>8</v>
      </c>
      <c r="M28" s="4" t="str">
        <f aca="false" t="array" ref="M28:M28">INDEX(Productos!$AC:AC,MATCH($A28,Productos!$A:$A),1)</f>
        <v>fabrica</v>
      </c>
      <c r="N28" s="4"/>
      <c r="O28" s="4"/>
      <c r="P28" s="4"/>
      <c r="Q28" s="4"/>
      <c r="R28" s="4"/>
      <c r="S28" s="4"/>
      <c r="T28" s="4"/>
      <c r="U28" s="4"/>
      <c r="V28" s="4"/>
      <c r="W28" s="4"/>
      <c r="X28" s="4"/>
      <c r="Y28" s="4"/>
      <c r="Z28" s="4"/>
      <c r="AA28" s="4"/>
      <c r="AB28" s="4"/>
    </row>
    <row r="29" customFormat="false" ht="15.75" hidden="false" customHeight="true" outlineLevel="0" collapsed="false">
      <c r="A29" s="4" t="n">
        <v>1116</v>
      </c>
      <c r="B29" s="4" t="str">
        <f aca="false" t="array" ref="B29:B29">INDEX(Productos!$A:B,MATCH($A29,Productos!$A:$A),COLUMN(B29))</f>
        <v>Nori entero cortado para roll</v>
      </c>
      <c r="C29" s="5" t="str">
        <f aca="false" t="array" ref="C29:C29">INDEX(Productos!$A:C,MATCH($A29,Productos!$A:$A),COLUMN(C29))</f>
        <v>Alga Nori cortada para relleno interior de roll</v>
      </c>
      <c r="D29" s="4" t="n">
        <f aca="false">IFERROR(__xludf.dummyfunction("COUNT(FILTER(Ingredientes!A:A,Ingredientes!A:A=A29))"),1)</f>
        <v>1</v>
      </c>
      <c r="E29" s="8" t="str">
        <f aca="false">IFERROR(__xludf.dummyfunction("TRANSPOSE(IFERROR((FILTER(Ingredientes!D:D,A29=Ingredientes!A:A))))"),"Nori entero")</f>
        <v>Nori entero</v>
      </c>
      <c r="F29" s="8"/>
      <c r="G29" s="8"/>
      <c r="H29" s="8"/>
      <c r="I29" s="8"/>
      <c r="J29" s="8"/>
      <c r="K29" s="4" t="n">
        <f aca="false">IFERROR(__xludf.dummyfunction("sum(iferror(filter(Ingredientes!J:J,Ingredientes!A:A=A29)))"),11)</f>
        <v>11</v>
      </c>
      <c r="L29" s="4" t="n">
        <f aca="false">IFERROR(__xludf.dummyfunction("sum(filter(Productos!K:K,Productos!A:A=A29))"),10)</f>
        <v>10</v>
      </c>
      <c r="M29" s="4" t="str">
        <f aca="false" t="array" ref="M29:M29">INDEX(Productos!$AC:AC,MATCH($A29,Productos!$A:$A),1)</f>
        <v>fabrica</v>
      </c>
      <c r="N29" s="4"/>
      <c r="O29" s="4"/>
      <c r="P29" s="4"/>
      <c r="Q29" s="4"/>
      <c r="R29" s="4"/>
      <c r="S29" s="4"/>
      <c r="T29" s="4"/>
      <c r="U29" s="4"/>
      <c r="V29" s="4"/>
      <c r="W29" s="4"/>
      <c r="X29" s="4"/>
      <c r="Y29" s="4"/>
      <c r="Z29" s="4"/>
      <c r="AA29" s="4"/>
      <c r="AB29" s="4"/>
    </row>
    <row r="30" customFormat="false" ht="15.75" hidden="false" customHeight="true" outlineLevel="0" collapsed="false">
      <c r="A30" s="4" t="n">
        <v>1201</v>
      </c>
      <c r="B30" s="4" t="str">
        <f aca="false" t="array" ref="B30:B30">INDEX(Productos!$A:B,MATCH($A30,Productos!$A:$A),COLUMN(B30))</f>
        <v>Arroz cocido para roll</v>
      </c>
      <c r="C30" s="5" t="str">
        <f aca="false" t="array" ref="C30:C30">INDEX(Productos!$A:C,MATCH($A30,Productos!$A:$A),COLUMN(C30))</f>
        <v>Arroz cocido, porcionado para un roll</v>
      </c>
      <c r="D30" s="4" t="n">
        <f aca="false">IFERROR(__xludf.dummyfunction("COUNT(FILTER(Ingredientes!A:A,Ingredientes!A:A=A30))"),1)</f>
        <v>1</v>
      </c>
      <c r="E30" s="8" t="str">
        <f aca="false">IFERROR(__xludf.dummyfunction("TRANSPOSE(IFERROR((FILTER(Ingredientes!D:D,A30=Ingredientes!A:A))))"),"Arroz cocido")</f>
        <v>Arroz cocido</v>
      </c>
      <c r="F30" s="8"/>
      <c r="G30" s="8"/>
      <c r="H30" s="8"/>
      <c r="I30" s="8"/>
      <c r="J30" s="8"/>
      <c r="K30" s="4" t="n">
        <f aca="false">IFERROR(__xludf.dummyfunction("sum(iferror(filter(Ingredientes!J:J,Ingredientes!A:A=A30)))"),1)</f>
        <v>1</v>
      </c>
      <c r="L30" s="4" t="n">
        <f aca="false">IFERROR(__xludf.dummyfunction("sum(filter(Productos!K:K,Productos!A:A=A30))"),10)</f>
        <v>10</v>
      </c>
      <c r="M30" s="4" t="str">
        <f aca="false" t="array" ref="M30:M30">INDEX(Productos!$AC:AC,MATCH($A30,Productos!$A:$A),1)</f>
        <v>fabrica</v>
      </c>
      <c r="N30" s="4"/>
      <c r="O30" s="4"/>
      <c r="P30" s="4"/>
      <c r="Q30" s="4"/>
      <c r="R30" s="4"/>
      <c r="S30" s="4"/>
      <c r="T30" s="4"/>
      <c r="U30" s="4"/>
      <c r="V30" s="4"/>
      <c r="W30" s="4"/>
      <c r="X30" s="4"/>
      <c r="Y30" s="4"/>
      <c r="Z30" s="4"/>
      <c r="AA30" s="4"/>
      <c r="AB30" s="4"/>
    </row>
    <row r="31" customFormat="false" ht="15.75" hidden="false" customHeight="true" outlineLevel="0" collapsed="false">
      <c r="A31" s="4" t="n">
        <v>1207</v>
      </c>
      <c r="B31" s="4" t="str">
        <f aca="false" t="array" ref="B31:B31">INDEX(Productos!$A:B,MATCH($A31,Productos!$A:$A),COLUMN(B31))</f>
        <v>Salmón cortado para nigiri</v>
      </c>
      <c r="C31" s="5" t="str">
        <f aca="false" t="array" ref="C31:C31">INDEX(Productos!$A:C,MATCH($A31,Productos!$A:$A),COLUMN(C31))</f>
        <v>Filete de salmón cortado y porcionado para nigiri</v>
      </c>
      <c r="D31" s="4" t="n">
        <f aca="false">IFERROR(__xludf.dummyfunction("COUNT(FILTER(Ingredientes!A:A,Ingredientes!A:A=A31))"),1)</f>
        <v>1</v>
      </c>
      <c r="E31" s="8" t="str">
        <f aca="false">IFERROR(__xludf.dummyfunction("TRANSPOSE(IFERROR((FILTER(Ingredientes!D:D,A31=Ingredientes!A:A))))"),"Filete de salmón")</f>
        <v>Filete de salmón</v>
      </c>
      <c r="F31" s="8"/>
      <c r="G31" s="8"/>
      <c r="H31" s="8"/>
      <c r="I31" s="8"/>
      <c r="J31" s="8"/>
      <c r="K31" s="4" t="n">
        <f aca="false">IFERROR(__xludf.dummyfunction("sum(iferror(filter(Ingredientes!J:J,Ingredientes!A:A=A31)))"),1)</f>
        <v>1</v>
      </c>
      <c r="L31" s="4" t="n">
        <f aca="false">IFERROR(__xludf.dummyfunction("sum(filter(Productos!K:K,Productos!A:A=A31))"),12)</f>
        <v>12</v>
      </c>
      <c r="M31" s="4" t="str">
        <f aca="false" t="array" ref="M31:M31">INDEX(Productos!$AC:AC,MATCH($A31,Productos!$A:$A),1)</f>
        <v>fabrica</v>
      </c>
      <c r="N31" s="4"/>
      <c r="O31" s="4"/>
      <c r="P31" s="4"/>
      <c r="Q31" s="4"/>
      <c r="R31" s="4"/>
      <c r="S31" s="4"/>
      <c r="T31" s="4"/>
      <c r="U31" s="4"/>
      <c r="V31" s="4"/>
      <c r="W31" s="4"/>
      <c r="X31" s="4"/>
      <c r="Y31" s="4"/>
      <c r="Z31" s="4"/>
      <c r="AA31" s="4"/>
      <c r="AB31" s="4"/>
    </row>
    <row r="32" customFormat="false" ht="15.75" hidden="false" customHeight="true" outlineLevel="0" collapsed="false">
      <c r="A32" s="4" t="n">
        <v>1209</v>
      </c>
      <c r="B32" s="4" t="str">
        <f aca="false" t="array" ref="B32:B32">INDEX(Productos!$A:B,MATCH($A32,Productos!$A:$A),COLUMN(B32))</f>
        <v>Atún cortado para nigiri</v>
      </c>
      <c r="C32" s="5" t="str">
        <f aca="false" t="array" ref="C32:C32">INDEX(Productos!$A:C,MATCH($A32,Productos!$A:$A),COLUMN(C32))</f>
        <v>Filete de atún cortado y porcionado para nigiri</v>
      </c>
      <c r="D32" s="4" t="n">
        <f aca="false">IFERROR(__xludf.dummyfunction("COUNT(FILTER(Ingredientes!A:A,Ingredientes!A:A=A32))"),1)</f>
        <v>1</v>
      </c>
      <c r="E32" s="8" t="str">
        <f aca="false">IFERROR(__xludf.dummyfunction("TRANSPOSE(IFERROR((FILTER(Ingredientes!D:D,A32=Ingredientes!A:A))))"),"Filete de atún")</f>
        <v>Filete de atún</v>
      </c>
      <c r="F32" s="8"/>
      <c r="G32" s="8"/>
      <c r="H32" s="8"/>
      <c r="I32" s="8"/>
      <c r="J32" s="8"/>
      <c r="K32" s="4" t="n">
        <f aca="false">IFERROR(__xludf.dummyfunction("sum(iferror(filter(Ingredientes!J:J,Ingredientes!A:A=A32)))"),1)</f>
        <v>1</v>
      </c>
      <c r="L32" s="4" t="n">
        <f aca="false">IFERROR(__xludf.dummyfunction("sum(filter(Productos!K:K,Productos!A:A=A32))"),14)</f>
        <v>14</v>
      </c>
      <c r="M32" s="4" t="str">
        <f aca="false" t="array" ref="M32:M32">INDEX(Productos!$AC:AC,MATCH($A32,Productos!$A:$A),1)</f>
        <v>fabrica</v>
      </c>
      <c r="N32" s="4"/>
      <c r="O32" s="4"/>
      <c r="P32" s="4"/>
      <c r="Q32" s="4"/>
      <c r="R32" s="4"/>
      <c r="S32" s="4"/>
      <c r="T32" s="4"/>
      <c r="U32" s="4"/>
      <c r="V32" s="4"/>
      <c r="W32" s="4"/>
      <c r="X32" s="4"/>
      <c r="Y32" s="4"/>
      <c r="Z32" s="4"/>
      <c r="AA32" s="4"/>
      <c r="AB32" s="4"/>
    </row>
    <row r="33" customFormat="false" ht="15.75" hidden="false" customHeight="true" outlineLevel="0" collapsed="false">
      <c r="A33" s="4" t="n">
        <v>1210</v>
      </c>
      <c r="B33" s="4" t="str">
        <f aca="false" t="array" ref="B33:B33">INDEX(Productos!$A:B,MATCH($A33,Productos!$A:$A),COLUMN(B33))</f>
        <v>Palta cortada para roll</v>
      </c>
      <c r="C33" s="5" t="str">
        <f aca="false" t="array" ref="C33:C33">INDEX(Productos!$A:C,MATCH($A33,Productos!$A:$A),COLUMN(C33))</f>
        <v>Palta cortada en cubos, porcionada para un roll con palta</v>
      </c>
      <c r="D33" s="4" t="n">
        <f aca="false">IFERROR(__xludf.dummyfunction("COUNT(FILTER(Ingredientes!A:A,Ingredientes!A:A=A33))"),1)</f>
        <v>1</v>
      </c>
      <c r="E33" s="8" t="str">
        <f aca="false">IFERROR(__xludf.dummyfunction("TRANSPOSE(IFERROR((FILTER(Ingredientes!D:D,A33=Ingredientes!A:A))))"),"Palta")</f>
        <v>Palta</v>
      </c>
      <c r="F33" s="8"/>
      <c r="G33" s="8"/>
      <c r="H33" s="8"/>
      <c r="I33" s="8"/>
      <c r="J33" s="8"/>
      <c r="K33" s="4" t="n">
        <f aca="false">IFERROR(__xludf.dummyfunction("sum(iferror(filter(Ingredientes!J:J,Ingredientes!A:A=A33)))"),1)</f>
        <v>1</v>
      </c>
      <c r="L33" s="4" t="n">
        <f aca="false">IFERROR(__xludf.dummyfunction("sum(filter(Productos!K:K,Productos!A:A=A33))"),9)</f>
        <v>9</v>
      </c>
      <c r="M33" s="4" t="str">
        <f aca="false" t="array" ref="M33:M33">INDEX(Productos!$AC:AC,MATCH($A33,Productos!$A:$A),1)</f>
        <v>fabrica</v>
      </c>
      <c r="N33" s="4"/>
      <c r="O33" s="4"/>
      <c r="P33" s="4"/>
      <c r="Q33" s="4"/>
      <c r="R33" s="4"/>
      <c r="S33" s="4"/>
      <c r="T33" s="4"/>
      <c r="U33" s="4"/>
      <c r="V33" s="4"/>
      <c r="W33" s="4"/>
      <c r="X33" s="4"/>
      <c r="Y33" s="4"/>
      <c r="Z33" s="4"/>
      <c r="AA33" s="4"/>
      <c r="AB33" s="4"/>
    </row>
    <row r="34" customFormat="false" ht="15.75" hidden="false" customHeight="true" outlineLevel="0" collapsed="false">
      <c r="A34" s="4" t="n">
        <v>1211</v>
      </c>
      <c r="B34" s="4" t="str">
        <f aca="false" t="array" ref="B34:B34">INDEX(Productos!$A:B,MATCH($A34,Productos!$A:$A),COLUMN(B34))</f>
        <v>Sésamo tostado para envoltura</v>
      </c>
      <c r="C34" s="5" t="str">
        <f aca="false" t="array" ref="C34:C34">INDEX(Productos!$A:C,MATCH($A34,Productos!$A:$A),COLUMN(C34))</f>
        <v>Sésamo tostado, porcionado para envoltura de un roll</v>
      </c>
      <c r="D34" s="4" t="n">
        <f aca="false">IFERROR(__xludf.dummyfunction("COUNT(FILTER(Ingredientes!A:A,Ingredientes!A:A=A34))"),1)</f>
        <v>1</v>
      </c>
      <c r="E34" s="8" t="str">
        <f aca="false">IFERROR(__xludf.dummyfunction("TRANSPOSE(IFERROR((FILTER(Ingredientes!D:D,A34=Ingredientes!A:A))))"),"Sésamo tostado")</f>
        <v>Sésamo tostado</v>
      </c>
      <c r="F34" s="8"/>
      <c r="G34" s="8"/>
      <c r="H34" s="8"/>
      <c r="I34" s="8"/>
      <c r="J34" s="8"/>
      <c r="K34" s="4" t="n">
        <f aca="false">IFERROR(__xludf.dummyfunction("sum(iferror(filter(Ingredientes!J:J,Ingredientes!A:A=A34)))"),1)</f>
        <v>1</v>
      </c>
      <c r="L34" s="4" t="n">
        <f aca="false">IFERROR(__xludf.dummyfunction("sum(filter(Productos!K:K,Productos!A:A=A34))"),10)</f>
        <v>10</v>
      </c>
      <c r="M34" s="4" t="str">
        <f aca="false" t="array" ref="M34:M34">INDEX(Productos!$AC:AC,MATCH($A34,Productos!$A:$A),1)</f>
        <v>fabrica</v>
      </c>
      <c r="N34" s="4"/>
      <c r="O34" s="4"/>
      <c r="P34" s="4"/>
      <c r="Q34" s="4"/>
      <c r="R34" s="4"/>
      <c r="S34" s="4"/>
      <c r="T34" s="4"/>
      <c r="U34" s="4"/>
      <c r="V34" s="4"/>
      <c r="W34" s="4"/>
      <c r="X34" s="4"/>
      <c r="Y34" s="4"/>
      <c r="Z34" s="4"/>
      <c r="AA34" s="4"/>
      <c r="AB34" s="4"/>
    </row>
    <row r="35" customFormat="false" ht="15.75" hidden="false" customHeight="true" outlineLevel="0" collapsed="false">
      <c r="A35" s="4" t="n">
        <v>1215</v>
      </c>
      <c r="B35" s="4" t="str">
        <f aca="false" t="array" ref="B35:B35">INDEX(Productos!$A:B,MATCH($A35,Productos!$A:$A),COLUMN(B35))</f>
        <v>Ciboulette picado para envoltura</v>
      </c>
      <c r="C35" s="5" t="str">
        <f aca="false" t="array" ref="C35:C35">INDEX(Productos!$A:C,MATCH($A35,Productos!$A:$A),COLUMN(C35))</f>
        <v>Ciboulette cortado finamente para ser usado de envoltura</v>
      </c>
      <c r="D35" s="4" t="n">
        <f aca="false">IFERROR(__xludf.dummyfunction("COUNT(FILTER(Ingredientes!A:A,Ingredientes!A:A=A35))"),1)</f>
        <v>1</v>
      </c>
      <c r="E35" s="8" t="str">
        <f aca="false">IFERROR(__xludf.dummyfunction("TRANSPOSE(IFERROR((FILTER(Ingredientes!D:D,A35=Ingredientes!A:A))))"),"Ciboulette entero")</f>
        <v>Ciboulette entero</v>
      </c>
      <c r="F35" s="8"/>
      <c r="G35" s="8"/>
      <c r="H35" s="8"/>
      <c r="I35" s="8"/>
      <c r="J35" s="8"/>
      <c r="K35" s="4" t="n">
        <f aca="false">IFERROR(__xludf.dummyfunction("sum(iferror(filter(Ingredientes!J:J,Ingredientes!A:A=A35)))"),4)</f>
        <v>4</v>
      </c>
      <c r="L35" s="4" t="n">
        <f aca="false">IFERROR(__xludf.dummyfunction("sum(filter(Productos!K:K,Productos!A:A=A35))"),8)</f>
        <v>8</v>
      </c>
      <c r="M35" s="4" t="str">
        <f aca="false" t="array" ref="M35:M35">INDEX(Productos!$AC:AC,MATCH($A35,Productos!$A:$A),1)</f>
        <v>fabrica</v>
      </c>
      <c r="N35" s="4"/>
      <c r="O35" s="4"/>
      <c r="P35" s="4"/>
      <c r="Q35" s="4"/>
      <c r="R35" s="4"/>
      <c r="S35" s="4"/>
      <c r="T35" s="4"/>
      <c r="U35" s="4"/>
      <c r="V35" s="4"/>
      <c r="W35" s="4"/>
      <c r="X35" s="4"/>
      <c r="Y35" s="4"/>
      <c r="Z35" s="4"/>
      <c r="AA35" s="4"/>
      <c r="AB35" s="4"/>
    </row>
    <row r="36" customFormat="false" ht="15.75" hidden="false" customHeight="true" outlineLevel="0" collapsed="false">
      <c r="A36" s="4" t="n">
        <v>1216</v>
      </c>
      <c r="B36" s="4" t="str">
        <f aca="false" t="array" ref="B36:B36">INDEX(Productos!$A:B,MATCH($A36,Productos!$A:$A),COLUMN(B36))</f>
        <v>Nori entero cortado para nigiri</v>
      </c>
      <c r="C36" s="5" t="str">
        <f aca="false" t="array" ref="C36:C36">INDEX(Productos!$A:C,MATCH($A36,Productos!$A:$A),COLUMN(C36))</f>
        <v>Alga Nori cortada envolver nigiri</v>
      </c>
      <c r="D36" s="4" t="n">
        <f aca="false">IFERROR(__xludf.dummyfunction("COUNT(FILTER(Ingredientes!A:A,Ingredientes!A:A=A36))"),1)</f>
        <v>1</v>
      </c>
      <c r="E36" s="8" t="str">
        <f aca="false">IFERROR(__xludf.dummyfunction("TRANSPOSE(IFERROR((FILTER(Ingredientes!D:D,A36=Ingredientes!A:A))))"),"Nori entero")</f>
        <v>Nori entero</v>
      </c>
      <c r="F36" s="8"/>
      <c r="G36" s="8"/>
      <c r="H36" s="8"/>
      <c r="I36" s="8"/>
      <c r="J36" s="8"/>
      <c r="K36" s="4" t="n">
        <f aca="false">IFERROR(__xludf.dummyfunction("sum(iferror(filter(Ingredientes!J:J,Ingredientes!A:A=A36)))"),2)</f>
        <v>2</v>
      </c>
      <c r="L36" s="4" t="n">
        <f aca="false">IFERROR(__xludf.dummyfunction("sum(filter(Productos!K:K,Productos!A:A=A36))"),10)</f>
        <v>10</v>
      </c>
      <c r="M36" s="4" t="str">
        <f aca="false" t="array" ref="M36:M36">INDEX(Productos!$AC:AC,MATCH($A36,Productos!$A:$A),1)</f>
        <v>fabrica</v>
      </c>
      <c r="N36" s="4"/>
      <c r="O36" s="4"/>
      <c r="P36" s="4"/>
      <c r="Q36" s="4"/>
      <c r="R36" s="4"/>
      <c r="S36" s="4"/>
      <c r="T36" s="4"/>
      <c r="U36" s="4"/>
      <c r="V36" s="4"/>
      <c r="W36" s="4"/>
      <c r="X36" s="4"/>
      <c r="Y36" s="4"/>
      <c r="Z36" s="4"/>
      <c r="AA36" s="4"/>
      <c r="AB36" s="4"/>
    </row>
    <row r="37" customFormat="false" ht="15.75" hidden="false" customHeight="true" outlineLevel="0" collapsed="false">
      <c r="A37" s="4" t="n">
        <v>1301</v>
      </c>
      <c r="B37" s="4" t="str">
        <f aca="false" t="array" ref="B37:B37">INDEX(Productos!$A:B,MATCH($A37,Productos!$A:$A),COLUMN(B37))</f>
        <v>Arroz cocido para nigiri</v>
      </c>
      <c r="C37" s="5" t="str">
        <f aca="false" t="array" ref="C37:C37">INDEX(Productos!$A:C,MATCH($A37,Productos!$A:$A),COLUMN(C37))</f>
        <v>Arroz cocido, pocionado para nigiri</v>
      </c>
      <c r="D37" s="4" t="n">
        <f aca="false">IFERROR(__xludf.dummyfunction("COUNT(FILTER(Ingredientes!A:A,Ingredientes!A:A=A37))"),1)</f>
        <v>1</v>
      </c>
      <c r="E37" s="8" t="str">
        <f aca="false">IFERROR(__xludf.dummyfunction("TRANSPOSE(IFERROR((FILTER(Ingredientes!D:D,A37=Ingredientes!A:A))))"),"Arroz cocido")</f>
        <v>Arroz cocido</v>
      </c>
      <c r="F37" s="8"/>
      <c r="G37" s="8"/>
      <c r="H37" s="8"/>
      <c r="I37" s="8"/>
      <c r="J37" s="8"/>
      <c r="K37" s="4" t="n">
        <f aca="false">IFERROR(__xludf.dummyfunction("sum(iferror(filter(Ingredientes!J:J,Ingredientes!A:A=A37)))"),1)</f>
        <v>1</v>
      </c>
      <c r="L37" s="4" t="n">
        <f aca="false">IFERROR(__xludf.dummyfunction("sum(filter(Productos!K:K,Productos!A:A=A37))"),5)</f>
        <v>5</v>
      </c>
      <c r="M37" s="4" t="str">
        <f aca="false" t="array" ref="M37:M37">INDEX(Productos!$AC:AC,MATCH($A37,Productos!$A:$A),1)</f>
        <v>fabrica</v>
      </c>
      <c r="N37" s="4"/>
      <c r="O37" s="4"/>
      <c r="P37" s="4"/>
      <c r="Q37" s="4"/>
      <c r="R37" s="4"/>
      <c r="S37" s="4"/>
      <c r="T37" s="4"/>
      <c r="U37" s="4"/>
      <c r="V37" s="4"/>
      <c r="W37" s="4"/>
      <c r="X37" s="4"/>
      <c r="Y37" s="4"/>
      <c r="Z37" s="4"/>
      <c r="AA37" s="4"/>
      <c r="AB37" s="4"/>
    </row>
    <row r="38" customFormat="false" ht="15.75" hidden="false" customHeight="true" outlineLevel="0" collapsed="false">
      <c r="A38" s="4" t="n">
        <v>1307</v>
      </c>
      <c r="B38" s="4" t="str">
        <f aca="false" t="array" ref="B38:B38">INDEX(Productos!$A:B,MATCH($A38,Productos!$A:$A),COLUMN(B38))</f>
        <v>Salmón cortado para sashimi</v>
      </c>
      <c r="C38" s="5" t="str">
        <f aca="false" t="array" ref="C38:C38">INDEX(Productos!$A:C,MATCH($A38,Productos!$A:$A),COLUMN(C38))</f>
        <v>Filete de salmón cortado para sashimi, porcionado en 3 cortes</v>
      </c>
      <c r="D38" s="4" t="n">
        <f aca="false">IFERROR(__xludf.dummyfunction("COUNT(FILTER(Ingredientes!A:A,Ingredientes!A:A=A38))"),1)</f>
        <v>1</v>
      </c>
      <c r="E38" s="8" t="str">
        <f aca="false">IFERROR(__xludf.dummyfunction("TRANSPOSE(IFERROR((FILTER(Ingredientes!D:D,A38=Ingredientes!A:A))))"),"Filete de salmón")</f>
        <v>Filete de salmón</v>
      </c>
      <c r="F38" s="8"/>
      <c r="G38" s="8"/>
      <c r="H38" s="8"/>
      <c r="I38" s="8"/>
      <c r="J38" s="8"/>
      <c r="K38" s="4" t="n">
        <f aca="false">IFERROR(__xludf.dummyfunction("sum(iferror(filter(Ingredientes!J:J,Ingredientes!A:A=A38)))"),1)</f>
        <v>1</v>
      </c>
      <c r="L38" s="4" t="n">
        <f aca="false">IFERROR(__xludf.dummyfunction("sum(filter(Productos!K:K,Productos!A:A=A38))"),11)</f>
        <v>11</v>
      </c>
      <c r="M38" s="4" t="str">
        <f aca="false" t="array" ref="M38:M38">INDEX(Productos!$AC:AC,MATCH($A38,Productos!$A:$A),1)</f>
        <v>fabrica</v>
      </c>
      <c r="N38" s="4"/>
      <c r="O38" s="4"/>
      <c r="P38" s="4"/>
      <c r="Q38" s="4"/>
      <c r="R38" s="4"/>
      <c r="S38" s="4"/>
      <c r="T38" s="4"/>
      <c r="U38" s="4"/>
      <c r="V38" s="4"/>
      <c r="W38" s="4"/>
      <c r="X38" s="4"/>
      <c r="Y38" s="4"/>
      <c r="Z38" s="4"/>
      <c r="AA38" s="4"/>
      <c r="AB38" s="4"/>
    </row>
    <row r="39" customFormat="false" ht="15.75" hidden="false" customHeight="true" outlineLevel="0" collapsed="false">
      <c r="A39" s="4" t="n">
        <v>1309</v>
      </c>
      <c r="B39" s="4" t="str">
        <f aca="false" t="array" ref="B39:B39">INDEX(Productos!$A:B,MATCH($A39,Productos!$A:$A),COLUMN(B39))</f>
        <v>Atún cortado para sashimi</v>
      </c>
      <c r="C39" s="5" t="str">
        <f aca="false" t="array" ref="C39:C39">INDEX(Productos!$A:C,MATCH($A39,Productos!$A:$A),COLUMN(C39))</f>
        <v>Filete de atún cortado para sashimi, porcionado en 3 cortes</v>
      </c>
      <c r="D39" s="4" t="n">
        <f aca="false">IFERROR(__xludf.dummyfunction("COUNT(FILTER(Ingredientes!A:A,Ingredientes!A:A=A39))"),1)</f>
        <v>1</v>
      </c>
      <c r="E39" s="8" t="str">
        <f aca="false">IFERROR(__xludf.dummyfunction("TRANSPOSE(IFERROR((FILTER(Ingredientes!D:D,A39=Ingredientes!A:A))))"),"Filete de atún")</f>
        <v>Filete de atún</v>
      </c>
      <c r="F39" s="8"/>
      <c r="G39" s="8"/>
      <c r="H39" s="8"/>
      <c r="I39" s="8"/>
      <c r="J39" s="8"/>
      <c r="K39" s="4" t="n">
        <f aca="false">IFERROR(__xludf.dummyfunction("sum(iferror(filter(Ingredientes!J:J,Ingredientes!A:A=A39)))"),1)</f>
        <v>1</v>
      </c>
      <c r="L39" s="4" t="n">
        <f aca="false">IFERROR(__xludf.dummyfunction("sum(filter(Productos!K:K,Productos!A:A=A39))"),11)</f>
        <v>11</v>
      </c>
      <c r="M39" s="4" t="str">
        <f aca="false" t="array" ref="M39:M39">INDEX(Productos!$AC:AC,MATCH($A39,Productos!$A:$A),1)</f>
        <v>fabrica</v>
      </c>
      <c r="N39" s="4"/>
      <c r="O39" s="4"/>
      <c r="P39" s="4"/>
      <c r="Q39" s="4"/>
      <c r="R39" s="4"/>
      <c r="S39" s="4"/>
      <c r="T39" s="4"/>
      <c r="U39" s="4"/>
      <c r="V39" s="4"/>
      <c r="W39" s="4"/>
      <c r="X39" s="4"/>
      <c r="Y39" s="4"/>
      <c r="Z39" s="4"/>
      <c r="AA39" s="4"/>
      <c r="AB39" s="4"/>
    </row>
    <row r="40" customFormat="false" ht="15.75" hidden="false" customHeight="true" outlineLevel="0" collapsed="false">
      <c r="A40" s="4" t="n">
        <v>1310</v>
      </c>
      <c r="B40" s="4" t="str">
        <f aca="false" t="array" ref="B40:B40">INDEX(Productos!$A:B,MATCH($A40,Productos!$A:$A),COLUMN(B40))</f>
        <v>Palta cortada para nigiri</v>
      </c>
      <c r="C40" s="5" t="str">
        <f aca="false" t="array" ref="C40:C40">INDEX(Productos!$A:C,MATCH($A40,Productos!$A:$A),COLUMN(C40))</f>
        <v>Palta cortada en láminas, porcionada para nigiri con palta</v>
      </c>
      <c r="D40" s="4" t="n">
        <f aca="false">IFERROR(__xludf.dummyfunction("COUNT(FILTER(Ingredientes!A:A,Ingredientes!A:A=A40))"),1)</f>
        <v>1</v>
      </c>
      <c r="E40" s="8" t="str">
        <f aca="false">IFERROR(__xludf.dummyfunction("TRANSPOSE(IFERROR((FILTER(Ingredientes!D:D,A40=Ingredientes!A:A))))"),"Palta")</f>
        <v>Palta</v>
      </c>
      <c r="F40" s="8"/>
      <c r="G40" s="8"/>
      <c r="H40" s="8"/>
      <c r="I40" s="8"/>
      <c r="J40" s="8"/>
      <c r="K40" s="4" t="n">
        <f aca="false">IFERROR(__xludf.dummyfunction("sum(iferror(filter(Ingredientes!J:J,Ingredientes!A:A=A40)))"),1)</f>
        <v>1</v>
      </c>
      <c r="L40" s="4" t="n">
        <f aca="false">IFERROR(__xludf.dummyfunction("sum(filter(Productos!K:K,Productos!A:A=A40))"),12)</f>
        <v>12</v>
      </c>
      <c r="M40" s="4" t="str">
        <f aca="false" t="array" ref="M40:M40">INDEX(Productos!$AC:AC,MATCH($A40,Productos!$A:$A),1)</f>
        <v>fabrica</v>
      </c>
      <c r="N40" s="4"/>
      <c r="O40" s="4"/>
      <c r="P40" s="4"/>
      <c r="Q40" s="4"/>
      <c r="R40" s="4"/>
      <c r="S40" s="4"/>
      <c r="T40" s="4"/>
      <c r="U40" s="4"/>
      <c r="V40" s="4"/>
      <c r="W40" s="4"/>
      <c r="X40" s="4"/>
      <c r="Y40" s="4"/>
      <c r="Z40" s="4"/>
      <c r="AA40" s="4"/>
      <c r="AB40" s="4"/>
    </row>
    <row r="41" customFormat="false" ht="15.75" hidden="false" customHeight="true" outlineLevel="0" collapsed="false">
      <c r="A41" s="4" t="n">
        <v>1407</v>
      </c>
      <c r="B41" s="4" t="str">
        <f aca="false" t="array" ref="B41:B41">INDEX(Productos!$A:B,MATCH($A41,Productos!$A:$A),COLUMN(B41))</f>
        <v>Salmón cortado para envoltura</v>
      </c>
      <c r="C41" s="5" t="str">
        <f aca="false" t="array" ref="C41:C41">INDEX(Productos!$A:C,MATCH($A41,Productos!$A:$A),COLUMN(C41))</f>
        <v>Salmón cortado finamente y porcionado para envoltura de roll</v>
      </c>
      <c r="D41" s="4" t="n">
        <f aca="false">IFERROR(__xludf.dummyfunction("COUNT(FILTER(Ingredientes!A:A,Ingredientes!A:A=A41))"),1)</f>
        <v>1</v>
      </c>
      <c r="E41" s="8" t="str">
        <f aca="false">IFERROR(__xludf.dummyfunction("TRANSPOSE(IFERROR((FILTER(Ingredientes!D:D,A41=Ingredientes!A:A))))"),"Filete de salmón")</f>
        <v>Filete de salmón</v>
      </c>
      <c r="F41" s="8"/>
      <c r="G41" s="8"/>
      <c r="H41" s="8"/>
      <c r="I41" s="8"/>
      <c r="J41" s="8"/>
      <c r="K41" s="4" t="n">
        <f aca="false">IFERROR(__xludf.dummyfunction("sum(iferror(filter(Ingredientes!J:J,Ingredientes!A:A=A41)))"),1)</f>
        <v>1</v>
      </c>
      <c r="L41" s="4" t="n">
        <f aca="false">IFERROR(__xludf.dummyfunction("sum(filter(Productos!K:K,Productos!A:A=A41))"),14)</f>
        <v>14</v>
      </c>
      <c r="M41" s="4" t="str">
        <f aca="false" t="array" ref="M41:M41">INDEX(Productos!$AC:AC,MATCH($A41,Productos!$A:$A),1)</f>
        <v>fabrica</v>
      </c>
      <c r="N41" s="4"/>
      <c r="O41" s="4"/>
      <c r="P41" s="4"/>
      <c r="Q41" s="4"/>
      <c r="R41" s="4"/>
      <c r="S41" s="4"/>
      <c r="T41" s="4"/>
      <c r="U41" s="4"/>
      <c r="V41" s="4"/>
      <c r="W41" s="4"/>
      <c r="X41" s="4"/>
      <c r="Y41" s="4"/>
      <c r="Z41" s="4"/>
      <c r="AA41" s="4"/>
      <c r="AB41" s="4"/>
    </row>
    <row r="42" customFormat="false" ht="15.75" hidden="false" customHeight="true" outlineLevel="0" collapsed="false">
      <c r="A42" s="4" t="n">
        <v>10001</v>
      </c>
      <c r="B42" s="4" t="str">
        <f aca="false" t="array" ref="B42:B42">INDEX(Productos!$A:B,MATCH($A42,Productos!$A:$A),COLUMN(B42))</f>
        <v>California Maki Sésamo</v>
      </c>
      <c r="C42" s="5" t="str">
        <f aca="false" t="array" ref="C42:C42">INDEX(Productos!$A:C,MATCH($A42,Productos!$A:$A),COLUMN(C42))</f>
        <v>Roll kanikama, palta, envuelto en sésamo</v>
      </c>
      <c r="D42" s="4" t="n">
        <f aca="false">IFERROR(__xludf.dummyfunction("COUNT(FILTER(Ingredientes!A:A,Ingredientes!A:A=A42))"),5)</f>
        <v>5</v>
      </c>
      <c r="E42" s="8" t="str">
        <f aca="false">IFERROR(__xludf.dummyfunction("TRANSPOSE(IFERROR((FILTER(Ingredientes!D:D,A42=Ingredientes!A:A))))"),"Arroz cocido para roll")</f>
        <v>Arroz cocido para roll</v>
      </c>
      <c r="F42" s="8" t="str">
        <f aca="false">IFERROR(__xludf.dummyfunction("""COMPUTED_VALUE"""),"Kanikama para roll")</f>
        <v>Kanikama para roll</v>
      </c>
      <c r="G42" s="8" t="str">
        <f aca="false">IFERROR(__xludf.dummyfunction("""COMPUTED_VALUE"""),"Palta cortada para roll")</f>
        <v>Palta cortada para roll</v>
      </c>
      <c r="H42" s="8" t="str">
        <f aca="false">IFERROR(__xludf.dummyfunction("""COMPUTED_VALUE"""),"Sésamo tostado para envoltura")</f>
        <v>Sésamo tostado para envoltura</v>
      </c>
      <c r="I42" s="8" t="str">
        <f aca="false">IFERROR(__xludf.dummyfunction("""COMPUTED_VALUE"""),"Nori entero cortado para roll")</f>
        <v>Nori entero cortado para roll</v>
      </c>
      <c r="J42" s="8"/>
      <c r="K42" s="4" t="n">
        <f aca="false">IFERROR(__xludf.dummyfunction("sum(iferror(filter(Ingredientes!J:J,Ingredientes!A:A=A42)))"),5)</f>
        <v>5</v>
      </c>
      <c r="L42" s="4" t="n">
        <f aca="false">IFERROR(__xludf.dummyfunction("sum(filter(Productos!K:K,Productos!A:A=A42))"),1)</f>
        <v>1</v>
      </c>
      <c r="M42" s="4" t="str">
        <f aca="false" t="array" ref="M42:M42">INDEX(Productos!$AC:AC,MATCH($A42,Productos!$A:$A),1)</f>
        <v>cocina</v>
      </c>
      <c r="N42" s="4"/>
      <c r="O42" s="4"/>
      <c r="P42" s="4"/>
      <c r="Q42" s="4"/>
      <c r="R42" s="4"/>
      <c r="S42" s="4"/>
      <c r="T42" s="4"/>
      <c r="U42" s="4"/>
      <c r="V42" s="4"/>
      <c r="W42" s="4"/>
      <c r="X42" s="4"/>
      <c r="Y42" s="4"/>
      <c r="Z42" s="4"/>
      <c r="AA42" s="4"/>
      <c r="AB42" s="4"/>
    </row>
    <row r="43" customFormat="false" ht="15.75" hidden="false" customHeight="true" outlineLevel="0" collapsed="false">
      <c r="A43" s="4" t="n">
        <v>10002</v>
      </c>
      <c r="B43" s="4" t="str">
        <f aca="false" t="array" ref="B43:B43">INDEX(Productos!$A:B,MATCH($A43,Productos!$A:$A),COLUMN(B43))</f>
        <v>California Maki Masago</v>
      </c>
      <c r="C43" s="5" t="str">
        <f aca="false" t="array" ref="C43:C43">INDEX(Productos!$A:C,MATCH($A43,Productos!$A:$A),COLUMN(C43))</f>
        <v>Roll kanikama, palta, envuelto en masago</v>
      </c>
      <c r="D43" s="4" t="n">
        <f aca="false">IFERROR(__xludf.dummyfunction("COUNT(FILTER(Ingredientes!A:A,Ingredientes!A:A=A43))"),5)</f>
        <v>5</v>
      </c>
      <c r="E43" s="8" t="str">
        <f aca="false">IFERROR(__xludf.dummyfunction("TRANSPOSE(IFERROR((FILTER(Ingredientes!D:D,A43=Ingredientes!A:A))))"),"Arroz cocido para roll")</f>
        <v>Arroz cocido para roll</v>
      </c>
      <c r="F43" s="8" t="str">
        <f aca="false">IFERROR(__xludf.dummyfunction("""COMPUTED_VALUE"""),"Kanikama para roll")</f>
        <v>Kanikama para roll</v>
      </c>
      <c r="G43" s="8" t="str">
        <f aca="false">IFERROR(__xludf.dummyfunction("""COMPUTED_VALUE"""),"Masago")</f>
        <v>Masago</v>
      </c>
      <c r="H43" s="8" t="str">
        <f aca="false">IFERROR(__xludf.dummyfunction("""COMPUTED_VALUE"""),"Palta cortada para roll")</f>
        <v>Palta cortada para roll</v>
      </c>
      <c r="I43" s="8" t="str">
        <f aca="false">IFERROR(__xludf.dummyfunction("""COMPUTED_VALUE"""),"Nori entero cortado para roll")</f>
        <v>Nori entero cortado para roll</v>
      </c>
      <c r="J43" s="8"/>
      <c r="K43" s="4" t="n">
        <f aca="false">IFERROR(__xludf.dummyfunction("sum(iferror(filter(Ingredientes!J:J,Ingredientes!A:A=A43)))"),9)</f>
        <v>9</v>
      </c>
      <c r="L43" s="4" t="n">
        <f aca="false">IFERROR(__xludf.dummyfunction("sum(filter(Productos!K:K,Productos!A:A=A43))"),1)</f>
        <v>1</v>
      </c>
      <c r="M43" s="4" t="str">
        <f aca="false" t="array" ref="M43:M43">INDEX(Productos!$AC:AC,MATCH($A43,Productos!$A:$A),1)</f>
        <v>cocina</v>
      </c>
      <c r="N43" s="4"/>
      <c r="O43" s="4"/>
      <c r="P43" s="4"/>
      <c r="Q43" s="4"/>
      <c r="R43" s="4"/>
      <c r="S43" s="4"/>
      <c r="T43" s="4"/>
      <c r="U43" s="4"/>
      <c r="V43" s="4"/>
      <c r="W43" s="4"/>
      <c r="X43" s="4"/>
      <c r="Y43" s="4"/>
      <c r="Z43" s="4"/>
      <c r="AA43" s="4"/>
      <c r="AB43" s="4"/>
    </row>
    <row r="44" customFormat="false" ht="15.75" hidden="false" customHeight="true" outlineLevel="0" collapsed="false">
      <c r="A44" s="4" t="n">
        <v>10003</v>
      </c>
      <c r="B44" s="4" t="str">
        <f aca="false" t="array" ref="B44:B44">INDEX(Productos!$A:B,MATCH($A44,Productos!$A:$A),COLUMN(B44))</f>
        <v>California Maki Mix</v>
      </c>
      <c r="C44" s="5" t="str">
        <f aca="false" t="array" ref="C44:C44">INDEX(Productos!$A:C,MATCH($A44,Productos!$A:$A),COLUMN(C44))</f>
        <v>Roll kanikama, palta, envuelto en mezcla de masago y sésamo</v>
      </c>
      <c r="D44" s="4" t="n">
        <f aca="false">IFERROR(__xludf.dummyfunction("COUNT(FILTER(Ingredientes!A:A,Ingredientes!A:A=A44))"),6)</f>
        <v>6</v>
      </c>
      <c r="E44" s="8" t="str">
        <f aca="false">IFERROR(__xludf.dummyfunction("TRANSPOSE(IFERROR((FILTER(Ingredientes!D:D,A44=Ingredientes!A:A))))"),"Arroz cocido para roll")</f>
        <v>Arroz cocido para roll</v>
      </c>
      <c r="F44" s="8" t="str">
        <f aca="false">IFERROR(__xludf.dummyfunction("""COMPUTED_VALUE"""),"Kanikama para roll")</f>
        <v>Kanikama para roll</v>
      </c>
      <c r="G44" s="8" t="str">
        <f aca="false">IFERROR(__xludf.dummyfunction("""COMPUTED_VALUE"""),"Masago")</f>
        <v>Masago</v>
      </c>
      <c r="H44" s="8" t="str">
        <f aca="false">IFERROR(__xludf.dummyfunction("""COMPUTED_VALUE"""),"Palta cortada para roll")</f>
        <v>Palta cortada para roll</v>
      </c>
      <c r="I44" s="8" t="str">
        <f aca="false">IFERROR(__xludf.dummyfunction("""COMPUTED_VALUE"""),"Sésamo tostado para envoltura")</f>
        <v>Sésamo tostado para envoltura</v>
      </c>
      <c r="J44" s="8" t="str">
        <f aca="false">IFERROR(__xludf.dummyfunction("""COMPUTED_VALUE"""),"Nori entero cortado para roll")</f>
        <v>Nori entero cortado para roll</v>
      </c>
      <c r="K44" s="4" t="n">
        <f aca="false">IFERROR(__xludf.dummyfunction("sum(iferror(filter(Ingredientes!J:J,Ingredientes!A:A=A44)))"),10)</f>
        <v>10</v>
      </c>
      <c r="L44" s="4" t="n">
        <f aca="false">IFERROR(__xludf.dummyfunction("sum(filter(Productos!K:K,Productos!A:A=A44))"),1)</f>
        <v>1</v>
      </c>
      <c r="M44" s="4" t="str">
        <f aca="false" t="array" ref="M44:M44">INDEX(Productos!$AC:AC,MATCH($A44,Productos!$A:$A),1)</f>
        <v>cocina</v>
      </c>
      <c r="N44" s="4"/>
      <c r="O44" s="4"/>
      <c r="P44" s="4"/>
      <c r="Q44" s="4"/>
      <c r="R44" s="4"/>
      <c r="S44" s="4"/>
      <c r="T44" s="4"/>
      <c r="U44" s="4"/>
      <c r="V44" s="4"/>
      <c r="W44" s="4"/>
      <c r="X44" s="4"/>
      <c r="Y44" s="4"/>
      <c r="Z44" s="4"/>
      <c r="AA44" s="4"/>
      <c r="AB44" s="4"/>
    </row>
    <row r="45" customFormat="false" ht="15.75" hidden="false" customHeight="true" outlineLevel="0" collapsed="false">
      <c r="A45" s="4" t="n">
        <v>10004</v>
      </c>
      <c r="B45" s="4" t="str">
        <f aca="false" t="array" ref="B45:B45">INDEX(Productos!$A:B,MATCH($A45,Productos!$A:$A),COLUMN(B45))</f>
        <v>California Ebi Sésamo</v>
      </c>
      <c r="C45" s="5" t="str">
        <f aca="false" t="array" ref="C45:C45">INDEX(Productos!$A:C,MATCH($A45,Productos!$A:$A),COLUMN(C45))</f>
        <v>Roll con camarón, palta, envuelto en sésamo</v>
      </c>
      <c r="D45" s="4" t="n">
        <f aca="false">IFERROR(__xludf.dummyfunction("COUNT(FILTER(Ingredientes!A:A,Ingredientes!A:A=A45))"),5)</f>
        <v>5</v>
      </c>
      <c r="E45" s="8" t="str">
        <f aca="false">IFERROR(__xludf.dummyfunction("TRANSPOSE(IFERROR((FILTER(Ingredientes!D:D,A45=Ingredientes!A:A))))"),"Arroz cocido para roll")</f>
        <v>Arroz cocido para roll</v>
      </c>
      <c r="F45" s="8" t="str">
        <f aca="false">IFERROR(__xludf.dummyfunction("""COMPUTED_VALUE"""),"Camarón cocido")</f>
        <v>Camarón cocido</v>
      </c>
      <c r="G45" s="8" t="str">
        <f aca="false">IFERROR(__xludf.dummyfunction("""COMPUTED_VALUE"""),"Palta cortada para roll")</f>
        <v>Palta cortada para roll</v>
      </c>
      <c r="H45" s="8" t="str">
        <f aca="false">IFERROR(__xludf.dummyfunction("""COMPUTED_VALUE"""),"Sésamo tostado para envoltura")</f>
        <v>Sésamo tostado para envoltura</v>
      </c>
      <c r="I45" s="8" t="str">
        <f aca="false">IFERROR(__xludf.dummyfunction("""COMPUTED_VALUE"""),"Nori entero cortado para roll")</f>
        <v>Nori entero cortado para roll</v>
      </c>
      <c r="J45" s="8"/>
      <c r="K45" s="4" t="n">
        <f aca="false">IFERROR(__xludf.dummyfunction("sum(iferror(filter(Ingredientes!J:J,Ingredientes!A:A=A45)))"),8)</f>
        <v>8</v>
      </c>
      <c r="L45" s="4" t="n">
        <f aca="false">IFERROR(__xludf.dummyfunction("sum(filter(Productos!K:K,Productos!A:A=A45))"),1)</f>
        <v>1</v>
      </c>
      <c r="M45" s="4" t="str">
        <f aca="false" t="array" ref="M45:M45">INDEX(Productos!$AC:AC,MATCH($A45,Productos!$A:$A),1)</f>
        <v>cocina</v>
      </c>
      <c r="N45" s="4"/>
      <c r="O45" s="4"/>
      <c r="P45" s="4"/>
      <c r="Q45" s="4"/>
      <c r="R45" s="4"/>
      <c r="S45" s="4"/>
      <c r="T45" s="4"/>
      <c r="U45" s="4"/>
      <c r="V45" s="4"/>
      <c r="W45" s="4"/>
      <c r="X45" s="4"/>
      <c r="Y45" s="4"/>
      <c r="Z45" s="4"/>
      <c r="AA45" s="4"/>
      <c r="AB45" s="4"/>
    </row>
    <row r="46" customFormat="false" ht="15.75" hidden="false" customHeight="true" outlineLevel="0" collapsed="false">
      <c r="A46" s="4" t="n">
        <v>10005</v>
      </c>
      <c r="B46" s="4" t="str">
        <f aca="false" t="array" ref="B46:B46">INDEX(Productos!$A:B,MATCH($A46,Productos!$A:$A),COLUMN(B46))</f>
        <v>California Ebi Masago</v>
      </c>
      <c r="C46" s="5" t="str">
        <f aca="false" t="array" ref="C46:C46">INDEX(Productos!$A:C,MATCH($A46,Productos!$A:$A),COLUMN(C46))</f>
        <v>Roll con camarón, palta, envuelto en masago</v>
      </c>
      <c r="D46" s="4" t="n">
        <f aca="false">IFERROR(__xludf.dummyfunction("COUNT(FILTER(Ingredientes!A:A,Ingredientes!A:A=A46))"),5)</f>
        <v>5</v>
      </c>
      <c r="E46" s="8" t="str">
        <f aca="false">IFERROR(__xludf.dummyfunction("TRANSPOSE(IFERROR((FILTER(Ingredientes!D:D,A46=Ingredientes!A:A))))"),"Arroz cocido para roll")</f>
        <v>Arroz cocido para roll</v>
      </c>
      <c r="F46" s="8" t="str">
        <f aca="false">IFERROR(__xludf.dummyfunction("""COMPUTED_VALUE"""),"Camarón cocido")</f>
        <v>Camarón cocido</v>
      </c>
      <c r="G46" s="8" t="str">
        <f aca="false">IFERROR(__xludf.dummyfunction("""COMPUTED_VALUE"""),"Masago")</f>
        <v>Masago</v>
      </c>
      <c r="H46" s="8" t="str">
        <f aca="false">IFERROR(__xludf.dummyfunction("""COMPUTED_VALUE"""),"Palta cortada para roll")</f>
        <v>Palta cortada para roll</v>
      </c>
      <c r="I46" s="8" t="str">
        <f aca="false">IFERROR(__xludf.dummyfunction("""COMPUTED_VALUE"""),"Nori entero cortado para roll")</f>
        <v>Nori entero cortado para roll</v>
      </c>
      <c r="J46" s="8"/>
      <c r="K46" s="4" t="n">
        <f aca="false">IFERROR(__xludf.dummyfunction("sum(iferror(filter(Ingredientes!J:J,Ingredientes!A:A=A46)))"),12)</f>
        <v>12</v>
      </c>
      <c r="L46" s="4" t="n">
        <f aca="false">IFERROR(__xludf.dummyfunction("sum(filter(Productos!K:K,Productos!A:A=A46))"),1)</f>
        <v>1</v>
      </c>
      <c r="M46" s="4" t="str">
        <f aca="false" t="array" ref="M46:M46">INDEX(Productos!$AC:AC,MATCH($A46,Productos!$A:$A),1)</f>
        <v>cocina</v>
      </c>
      <c r="N46" s="4"/>
      <c r="O46" s="4"/>
      <c r="P46" s="4"/>
      <c r="Q46" s="4"/>
      <c r="R46" s="4"/>
      <c r="S46" s="4"/>
      <c r="T46" s="4"/>
      <c r="U46" s="4"/>
      <c r="V46" s="4"/>
      <c r="W46" s="4"/>
      <c r="X46" s="4"/>
      <c r="Y46" s="4"/>
      <c r="Z46" s="4"/>
      <c r="AA46" s="4"/>
      <c r="AB46" s="4"/>
    </row>
    <row r="47" customFormat="false" ht="22" hidden="false" customHeight="false" outlineLevel="0" collapsed="false">
      <c r="A47" s="4" t="n">
        <v>10006</v>
      </c>
      <c r="B47" s="4" t="str">
        <f aca="false" t="array" ref="B47:B47">INDEX(Productos!$A:B,MATCH($A47,Productos!$A:$A),COLUMN(B47))</f>
        <v>California Sake Sésamo</v>
      </c>
      <c r="C47" s="5" t="str">
        <f aca="false" t="array" ref="C47:C47">INDEX(Productos!$A:C,MATCH($A47,Productos!$A:$A),COLUMN(C47))</f>
        <v>Roll salmón, palta, envuelto en sésamo</v>
      </c>
      <c r="D47" s="4" t="n">
        <f aca="false">IFERROR(__xludf.dummyfunction("COUNT(FILTER(Ingredientes!A:A,Ingredientes!A:A=A47))"),5)</f>
        <v>5</v>
      </c>
      <c r="E47" s="8" t="str">
        <f aca="false">IFERROR(__xludf.dummyfunction("TRANSPOSE(IFERROR((FILTER(Ingredientes!D:D,A47=Ingredientes!A:A))))"),"Arroz cocido para roll")</f>
        <v>Arroz cocido para roll</v>
      </c>
      <c r="F47" s="8" t="str">
        <f aca="false">IFERROR(__xludf.dummyfunction("""COMPUTED_VALUE"""),"Palta cortada para roll")</f>
        <v>Palta cortada para roll</v>
      </c>
      <c r="G47" s="8" t="str">
        <f aca="false">IFERROR(__xludf.dummyfunction("""COMPUTED_VALUE"""),"Salmón cortado para roll")</f>
        <v>Salmón cortado para roll</v>
      </c>
      <c r="H47" s="8" t="str">
        <f aca="false">IFERROR(__xludf.dummyfunction("""COMPUTED_VALUE"""),"Sésamo tostado para envoltura")</f>
        <v>Sésamo tostado para envoltura</v>
      </c>
      <c r="I47" s="8" t="str">
        <f aca="false">IFERROR(__xludf.dummyfunction("""COMPUTED_VALUE"""),"Nori entero cortado para roll")</f>
        <v>Nori entero cortado para roll</v>
      </c>
      <c r="J47" s="8"/>
      <c r="K47" s="4" t="n">
        <f aca="false">IFERROR(__xludf.dummyfunction("sum(iferror(filter(Ingredientes!J:J,Ingredientes!A:A=A47)))"),5)</f>
        <v>5</v>
      </c>
      <c r="L47" s="4" t="n">
        <f aca="false">IFERROR(__xludf.dummyfunction("sum(filter(Productos!K:K,Productos!A:A=A47))"),1)</f>
        <v>1</v>
      </c>
      <c r="M47" s="4" t="str">
        <f aca="false" t="array" ref="M47:M47">INDEX(Productos!$AC:AC,MATCH($A47,Productos!$A:$A),1)</f>
        <v>cocina</v>
      </c>
      <c r="N47" s="4"/>
      <c r="O47" s="4"/>
      <c r="P47" s="4"/>
      <c r="Q47" s="4"/>
      <c r="R47" s="4"/>
      <c r="S47" s="4"/>
      <c r="T47" s="4"/>
      <c r="U47" s="4"/>
      <c r="V47" s="4"/>
      <c r="W47" s="4"/>
      <c r="X47" s="4"/>
      <c r="Y47" s="4"/>
      <c r="Z47" s="4"/>
      <c r="AA47" s="4"/>
      <c r="AB47" s="4"/>
    </row>
    <row r="48" customFormat="false" ht="22" hidden="false" customHeight="false" outlineLevel="0" collapsed="false">
      <c r="A48" s="4" t="n">
        <v>10007</v>
      </c>
      <c r="B48" s="4" t="str">
        <f aca="false" t="array" ref="B48:B48">INDEX(Productos!$A:B,MATCH($A48,Productos!$A:$A),COLUMN(B48))</f>
        <v>California Sake Masago</v>
      </c>
      <c r="C48" s="5" t="str">
        <f aca="false" t="array" ref="C48:C48">INDEX(Productos!$A:C,MATCH($A48,Productos!$A:$A),COLUMN(C48))</f>
        <v>Roll salmón, palta, envuelto en masago</v>
      </c>
      <c r="D48" s="4" t="n">
        <f aca="false">IFERROR(__xludf.dummyfunction("COUNT(FILTER(Ingredientes!A:A,Ingredientes!A:A=A48))"),5)</f>
        <v>5</v>
      </c>
      <c r="E48" s="8" t="str">
        <f aca="false">IFERROR(__xludf.dummyfunction("TRANSPOSE(IFERROR((FILTER(Ingredientes!D:D,A48=Ingredientes!A:A))))"),"Arroz cocido para roll")</f>
        <v>Arroz cocido para roll</v>
      </c>
      <c r="F48" s="8" t="str">
        <f aca="false">IFERROR(__xludf.dummyfunction("""COMPUTED_VALUE"""),"Masago")</f>
        <v>Masago</v>
      </c>
      <c r="G48" s="8" t="str">
        <f aca="false">IFERROR(__xludf.dummyfunction("""COMPUTED_VALUE"""),"Palta cortada para roll")</f>
        <v>Palta cortada para roll</v>
      </c>
      <c r="H48" s="8" t="str">
        <f aca="false">IFERROR(__xludf.dummyfunction("""COMPUTED_VALUE"""),"Salmón cortado para roll")</f>
        <v>Salmón cortado para roll</v>
      </c>
      <c r="I48" s="8" t="str">
        <f aca="false">IFERROR(__xludf.dummyfunction("""COMPUTED_VALUE"""),"Nori entero cortado para roll")</f>
        <v>Nori entero cortado para roll</v>
      </c>
      <c r="J48" s="8"/>
      <c r="K48" s="4" t="n">
        <f aca="false">IFERROR(__xludf.dummyfunction("sum(iferror(filter(Ingredientes!J:J,Ingredientes!A:A=A48)))"),9)</f>
        <v>9</v>
      </c>
      <c r="L48" s="4" t="n">
        <f aca="false">IFERROR(__xludf.dummyfunction("sum(filter(Productos!K:K,Productos!A:A=A48))"),1)</f>
        <v>1</v>
      </c>
      <c r="M48" s="4" t="str">
        <f aca="false" t="array" ref="M48:M48">INDEX(Productos!$AC:AC,MATCH($A48,Productos!$A:$A),1)</f>
        <v>cocina</v>
      </c>
      <c r="N48" s="4"/>
      <c r="O48" s="4"/>
      <c r="P48" s="4"/>
      <c r="Q48" s="4"/>
      <c r="R48" s="4"/>
      <c r="S48" s="4"/>
      <c r="T48" s="4"/>
      <c r="U48" s="4"/>
      <c r="V48" s="4"/>
      <c r="W48" s="4"/>
      <c r="X48" s="4"/>
      <c r="Y48" s="4"/>
      <c r="Z48" s="4"/>
      <c r="AA48" s="4"/>
      <c r="AB48" s="4"/>
    </row>
    <row r="49" customFormat="false" ht="22" hidden="false" customHeight="false" outlineLevel="0" collapsed="false">
      <c r="A49" s="4" t="n">
        <v>10008</v>
      </c>
      <c r="B49" s="4" t="str">
        <f aca="false" t="array" ref="B49:B49">INDEX(Productos!$A:B,MATCH($A49,Productos!$A:$A),COLUMN(B49))</f>
        <v>California Maguro Sésamo</v>
      </c>
      <c r="C49" s="5" t="str">
        <f aca="false" t="array" ref="C49:C49">INDEX(Productos!$A:C,MATCH($A49,Productos!$A:$A),COLUMN(C49))</f>
        <v>Roll atún, palta, envuelto en sésamo</v>
      </c>
      <c r="D49" s="4" t="n">
        <f aca="false">IFERROR(__xludf.dummyfunction("COUNT(FILTER(Ingredientes!A:A,Ingredientes!A:A=A49))"),5)</f>
        <v>5</v>
      </c>
      <c r="E49" s="8" t="str">
        <f aca="false">IFERROR(__xludf.dummyfunction("TRANSPOSE(IFERROR((FILTER(Ingredientes!D:D,A49=Ingredientes!A:A))))"),"Arroz cocido para roll")</f>
        <v>Arroz cocido para roll</v>
      </c>
      <c r="F49" s="8" t="str">
        <f aca="false">IFERROR(__xludf.dummyfunction("""COMPUTED_VALUE"""),"Atún cortado para roll")</f>
        <v>Atún cortado para roll</v>
      </c>
      <c r="G49" s="8" t="str">
        <f aca="false">IFERROR(__xludf.dummyfunction("""COMPUTED_VALUE"""),"Palta cortada para roll")</f>
        <v>Palta cortada para roll</v>
      </c>
      <c r="H49" s="8" t="str">
        <f aca="false">IFERROR(__xludf.dummyfunction("""COMPUTED_VALUE"""),"Sésamo tostado para envoltura")</f>
        <v>Sésamo tostado para envoltura</v>
      </c>
      <c r="I49" s="8" t="str">
        <f aca="false">IFERROR(__xludf.dummyfunction("""COMPUTED_VALUE"""),"Nori entero cortado para roll")</f>
        <v>Nori entero cortado para roll</v>
      </c>
      <c r="J49" s="8"/>
      <c r="K49" s="4" t="n">
        <f aca="false">IFERROR(__xludf.dummyfunction("sum(iferror(filter(Ingredientes!J:J,Ingredientes!A:A=A49)))"),5)</f>
        <v>5</v>
      </c>
      <c r="L49" s="4" t="n">
        <f aca="false">IFERROR(__xludf.dummyfunction("sum(filter(Productos!K:K,Productos!A:A=A49))"),1)</f>
        <v>1</v>
      </c>
      <c r="M49" s="4" t="str">
        <f aca="false" t="array" ref="M49:M49">INDEX(Productos!$AC:AC,MATCH($A49,Productos!$A:$A),1)</f>
        <v>cocina</v>
      </c>
      <c r="N49" s="4"/>
      <c r="O49" s="4"/>
      <c r="P49" s="4"/>
      <c r="Q49" s="4"/>
      <c r="R49" s="4"/>
      <c r="S49" s="4"/>
      <c r="T49" s="4"/>
      <c r="U49" s="4"/>
      <c r="V49" s="4"/>
      <c r="W49" s="4"/>
      <c r="X49" s="4"/>
      <c r="Y49" s="4"/>
      <c r="Z49" s="4"/>
      <c r="AA49" s="4"/>
      <c r="AB49" s="4"/>
    </row>
    <row r="50" customFormat="false" ht="22" hidden="false" customHeight="false" outlineLevel="0" collapsed="false">
      <c r="A50" s="4" t="n">
        <v>10009</v>
      </c>
      <c r="B50" s="4" t="str">
        <f aca="false" t="array" ref="B50:B50">INDEX(Productos!$A:B,MATCH($A50,Productos!$A:$A),COLUMN(B50))</f>
        <v>California Maguro Masago</v>
      </c>
      <c r="C50" s="5" t="str">
        <f aca="false" t="array" ref="C50:C50">INDEX(Productos!$A:C,MATCH($A50,Productos!$A:$A),COLUMN(C50))</f>
        <v>Roll atún, palta, envuelto en masago</v>
      </c>
      <c r="D50" s="4" t="n">
        <f aca="false">IFERROR(__xludf.dummyfunction("COUNT(FILTER(Ingredientes!A:A,Ingredientes!A:A=A50))"),5)</f>
        <v>5</v>
      </c>
      <c r="E50" s="8" t="str">
        <f aca="false">IFERROR(__xludf.dummyfunction("TRANSPOSE(IFERROR((FILTER(Ingredientes!D:D,A50=Ingredientes!A:A))))"),"Arroz cocido para roll")</f>
        <v>Arroz cocido para roll</v>
      </c>
      <c r="F50" s="8" t="str">
        <f aca="false">IFERROR(__xludf.dummyfunction("""COMPUTED_VALUE"""),"Atún cortado para roll")</f>
        <v>Atún cortado para roll</v>
      </c>
      <c r="G50" s="8" t="str">
        <f aca="false">IFERROR(__xludf.dummyfunction("""COMPUTED_VALUE"""),"Masago")</f>
        <v>Masago</v>
      </c>
      <c r="H50" s="8" t="str">
        <f aca="false">IFERROR(__xludf.dummyfunction("""COMPUTED_VALUE"""),"Palta cortada para roll")</f>
        <v>Palta cortada para roll</v>
      </c>
      <c r="I50" s="8" t="str">
        <f aca="false">IFERROR(__xludf.dummyfunction("""COMPUTED_VALUE"""),"Nori entero cortado para roll")</f>
        <v>Nori entero cortado para roll</v>
      </c>
      <c r="J50" s="8"/>
      <c r="K50" s="4" t="n">
        <f aca="false">IFERROR(__xludf.dummyfunction("sum(iferror(filter(Ingredientes!J:J,Ingredientes!A:A=A50)))"),9)</f>
        <v>9</v>
      </c>
      <c r="L50" s="4" t="n">
        <f aca="false">IFERROR(__xludf.dummyfunction("sum(filter(Productos!K:K,Productos!A:A=A50))"),1)</f>
        <v>1</v>
      </c>
      <c r="M50" s="4" t="str">
        <f aca="false" t="array" ref="M50:M50">INDEX(Productos!$AC:AC,MATCH($A50,Productos!$A:$A),1)</f>
        <v>cocina</v>
      </c>
      <c r="N50" s="4"/>
      <c r="O50" s="4"/>
      <c r="P50" s="4"/>
      <c r="Q50" s="4"/>
      <c r="R50" s="4"/>
      <c r="S50" s="4"/>
      <c r="T50" s="4"/>
      <c r="U50" s="4"/>
      <c r="V50" s="4"/>
      <c r="W50" s="4"/>
      <c r="X50" s="4"/>
      <c r="Y50" s="4"/>
      <c r="Z50" s="4"/>
      <c r="AA50" s="4"/>
      <c r="AB50" s="4"/>
    </row>
    <row r="51" customFormat="false" ht="22" hidden="false" customHeight="false" outlineLevel="0" collapsed="false">
      <c r="A51" s="4" t="n">
        <v>10010</v>
      </c>
      <c r="B51" s="4" t="str">
        <f aca="false" t="array" ref="B51:B51">INDEX(Productos!$A:B,MATCH($A51,Productos!$A:$A),COLUMN(B51))</f>
        <v>Ebi</v>
      </c>
      <c r="C51" s="5" t="str">
        <f aca="false" t="array" ref="C51:C51">INDEX(Productos!$A:C,MATCH($A51,Productos!$A:$A),COLUMN(C51))</f>
        <v>Roll con camarón y palta, envuelto en palta</v>
      </c>
      <c r="D51" s="4" t="n">
        <f aca="false">IFERROR(__xludf.dummyfunction("COUNT(FILTER(Ingredientes!A:A,Ingredientes!A:A=A51))"),5)</f>
        <v>5</v>
      </c>
      <c r="E51" s="8" t="str">
        <f aca="false">IFERROR(__xludf.dummyfunction("TRANSPOSE(IFERROR((FILTER(Ingredientes!D:D,A51=Ingredientes!A:A))))"),"Arroz cocido para roll")</f>
        <v>Arroz cocido para roll</v>
      </c>
      <c r="F51" s="8" t="str">
        <f aca="false">IFERROR(__xludf.dummyfunction("""COMPUTED_VALUE"""),"Camarón cocido")</f>
        <v>Camarón cocido</v>
      </c>
      <c r="G51" s="8" t="str">
        <f aca="false">IFERROR(__xludf.dummyfunction("""COMPUTED_VALUE"""),"Palta cortada para roll")</f>
        <v>Palta cortada para roll</v>
      </c>
      <c r="H51" s="8" t="str">
        <f aca="false">IFERROR(__xludf.dummyfunction("""COMPUTED_VALUE"""),"Palta cortada para envoltura")</f>
        <v>Palta cortada para envoltura</v>
      </c>
      <c r="I51" s="8" t="str">
        <f aca="false">IFERROR(__xludf.dummyfunction("""COMPUTED_VALUE"""),"Nori entero cortado para roll")</f>
        <v>Nori entero cortado para roll</v>
      </c>
      <c r="J51" s="8"/>
      <c r="K51" s="4" t="n">
        <f aca="false">IFERROR(__xludf.dummyfunction("sum(iferror(filter(Ingredientes!J:J,Ingredientes!A:A=A51)))"),8)</f>
        <v>8</v>
      </c>
      <c r="L51" s="4" t="n">
        <f aca="false">IFERROR(__xludf.dummyfunction("sum(filter(Productos!K:K,Productos!A:A=A51))"),1)</f>
        <v>1</v>
      </c>
      <c r="M51" s="4" t="str">
        <f aca="false" t="array" ref="M51:M51">INDEX(Productos!$AC:AC,MATCH($A51,Productos!$A:$A),1)</f>
        <v>cocina</v>
      </c>
      <c r="N51" s="4"/>
      <c r="O51" s="4"/>
      <c r="P51" s="4"/>
      <c r="Q51" s="4"/>
      <c r="R51" s="4"/>
      <c r="S51" s="4"/>
      <c r="T51" s="4"/>
      <c r="U51" s="4"/>
      <c r="V51" s="4"/>
      <c r="W51" s="4"/>
      <c r="X51" s="4"/>
      <c r="Y51" s="4"/>
      <c r="Z51" s="4"/>
      <c r="AA51" s="4"/>
      <c r="AB51" s="4"/>
    </row>
    <row r="52" customFormat="false" ht="22" hidden="false" customHeight="false" outlineLevel="0" collapsed="false">
      <c r="A52" s="4" t="n">
        <v>10011</v>
      </c>
      <c r="B52" s="4" t="str">
        <f aca="false" t="array" ref="B52:B52">INDEX(Productos!$A:B,MATCH($A52,Productos!$A:$A),COLUMN(B52))</f>
        <v>Ebi Especial</v>
      </c>
      <c r="C52" s="5" t="str">
        <f aca="false" t="array" ref="C52:C52">INDEX(Productos!$A:C,MATCH($A52,Productos!$A:$A),COLUMN(C52))</f>
        <v>Roll con camarón, queso crema, cebollín, envuelto en palta</v>
      </c>
      <c r="D52" s="4" t="n">
        <f aca="false">IFERROR(__xludf.dummyfunction("COUNT(FILTER(Ingredientes!A:A,Ingredientes!A:A=A52))"),6)</f>
        <v>6</v>
      </c>
      <c r="E52" s="8" t="str">
        <f aca="false">IFERROR(__xludf.dummyfunction("TRANSPOSE(IFERROR((FILTER(Ingredientes!D:D,A52=Ingredientes!A:A))))"),"Arroz cocido para roll")</f>
        <v>Arroz cocido para roll</v>
      </c>
      <c r="F52" s="8" t="str">
        <f aca="false">IFERROR(__xludf.dummyfunction("""COMPUTED_VALUE"""),"Camarón cocido")</f>
        <v>Camarón cocido</v>
      </c>
      <c r="G52" s="8" t="str">
        <f aca="false">IFERROR(__xludf.dummyfunction("""COMPUTED_VALUE"""),"Cebollín cortado para roll")</f>
        <v>Cebollín cortado para roll</v>
      </c>
      <c r="H52" s="8" t="str">
        <f aca="false">IFERROR(__xludf.dummyfunction("""COMPUTED_VALUE"""),"Palta cortada para envoltura")</f>
        <v>Palta cortada para envoltura</v>
      </c>
      <c r="I52" s="8" t="str">
        <f aca="false">IFERROR(__xludf.dummyfunction("""COMPUTED_VALUE"""),"Queso crema para roll")</f>
        <v>Queso crema para roll</v>
      </c>
      <c r="J52" s="8" t="str">
        <f aca="false">IFERROR(__xludf.dummyfunction("""COMPUTED_VALUE"""),"Nori entero cortado para roll")</f>
        <v>Nori entero cortado para roll</v>
      </c>
      <c r="K52" s="4" t="n">
        <f aca="false">IFERROR(__xludf.dummyfunction("sum(iferror(filter(Ingredientes!J:J,Ingredientes!A:A=A52)))"),9)</f>
        <v>9</v>
      </c>
      <c r="L52" s="4" t="n">
        <f aca="false">IFERROR(__xludf.dummyfunction("sum(filter(Productos!K:K,Productos!A:A=A52))"),1)</f>
        <v>1</v>
      </c>
      <c r="M52" s="4" t="str">
        <f aca="false" t="array" ref="M52:M52">INDEX(Productos!$AC:AC,MATCH($A52,Productos!$A:$A),1)</f>
        <v>cocina</v>
      </c>
      <c r="N52" s="4"/>
      <c r="O52" s="4"/>
      <c r="P52" s="4"/>
      <c r="Q52" s="4"/>
      <c r="R52" s="4"/>
      <c r="S52" s="4"/>
      <c r="T52" s="4"/>
      <c r="U52" s="4"/>
      <c r="V52" s="4"/>
      <c r="W52" s="4"/>
      <c r="X52" s="4"/>
      <c r="Y52" s="4"/>
      <c r="Z52" s="4"/>
      <c r="AA52" s="4"/>
      <c r="AB52" s="4"/>
    </row>
    <row r="53" customFormat="false" ht="22" hidden="false" customHeight="false" outlineLevel="0" collapsed="false">
      <c r="A53" s="4" t="n">
        <v>10012</v>
      </c>
      <c r="B53" s="4" t="str">
        <f aca="false" t="array" ref="B53:B53">INDEX(Productos!$A:B,MATCH($A53,Productos!$A:$A),COLUMN(B53))</f>
        <v>Turo</v>
      </c>
      <c r="C53" s="5" t="str">
        <f aca="false" t="array" ref="C53:C53">INDEX(Productos!$A:C,MATCH($A53,Productos!$A:$A),COLUMN(C53))</f>
        <v>Roll con salmón ahumado, camarón y queso crema, envuelto en palta</v>
      </c>
      <c r="D53" s="4" t="n">
        <f aca="false">IFERROR(__xludf.dummyfunction("COUNT(FILTER(Ingredientes!A:A,Ingredientes!A:A=A53))"),6)</f>
        <v>6</v>
      </c>
      <c r="E53" s="8" t="str">
        <f aca="false">IFERROR(__xludf.dummyfunction("TRANSPOSE(IFERROR((FILTER(Ingredientes!D:D,A53=Ingredientes!A:A))))"),"Arroz cocido para roll")</f>
        <v>Arroz cocido para roll</v>
      </c>
      <c r="F53" s="8" t="str">
        <f aca="false">IFERROR(__xludf.dummyfunction("""COMPUTED_VALUE"""),"Camarón cocido")</f>
        <v>Camarón cocido</v>
      </c>
      <c r="G53" s="8" t="str">
        <f aca="false">IFERROR(__xludf.dummyfunction("""COMPUTED_VALUE"""),"Palta cortada para envoltura")</f>
        <v>Palta cortada para envoltura</v>
      </c>
      <c r="H53" s="8" t="str">
        <f aca="false">IFERROR(__xludf.dummyfunction("""COMPUTED_VALUE"""),"Queso crema para roll")</f>
        <v>Queso crema para roll</v>
      </c>
      <c r="I53" s="8" t="str">
        <f aca="false">IFERROR(__xludf.dummyfunction("""COMPUTED_VALUE"""),"Salmón ahumado cortado para roll")</f>
        <v>Salmón ahumado cortado para roll</v>
      </c>
      <c r="J53" s="8" t="str">
        <f aca="false">IFERROR(__xludf.dummyfunction("""COMPUTED_VALUE"""),"Nori entero cortado para roll")</f>
        <v>Nori entero cortado para roll</v>
      </c>
      <c r="K53" s="4" t="n">
        <f aca="false">IFERROR(__xludf.dummyfunction("sum(iferror(filter(Ingredientes!J:J,Ingredientes!A:A=A53)))"),9)</f>
        <v>9</v>
      </c>
      <c r="L53" s="4" t="n">
        <f aca="false">IFERROR(__xludf.dummyfunction("sum(filter(Productos!K:K,Productos!A:A=A53))"),1)</f>
        <v>1</v>
      </c>
      <c r="M53" s="4" t="str">
        <f aca="false" t="array" ref="M53:M53">INDEX(Productos!$AC:AC,MATCH($A53,Productos!$A:$A),1)</f>
        <v>cocina</v>
      </c>
      <c r="N53" s="4"/>
      <c r="O53" s="4"/>
      <c r="P53" s="4"/>
      <c r="Q53" s="4"/>
      <c r="R53" s="4"/>
      <c r="S53" s="4"/>
      <c r="T53" s="4"/>
      <c r="U53" s="4"/>
      <c r="V53" s="4"/>
      <c r="W53" s="4"/>
      <c r="X53" s="4"/>
      <c r="Y53" s="4"/>
      <c r="Z53" s="4"/>
      <c r="AA53" s="4"/>
      <c r="AB53" s="4"/>
    </row>
    <row r="54" customFormat="false" ht="22" hidden="false" customHeight="false" outlineLevel="0" collapsed="false">
      <c r="A54" s="4" t="n">
        <v>10013</v>
      </c>
      <c r="B54" s="4" t="str">
        <f aca="false" t="array" ref="B54:B54">INDEX(Productos!$A:B,MATCH($A54,Productos!$A:$A),COLUMN(B54))</f>
        <v>Coca</v>
      </c>
      <c r="C54" s="5" t="str">
        <f aca="false" t="array" ref="C54:C54">INDEX(Productos!$A:C,MATCH($A54,Productos!$A:$A),COLUMN(C54))</f>
        <v>Roll con camarón y queso crema, envuelto en palta</v>
      </c>
      <c r="D54" s="4" t="n">
        <f aca="false">IFERROR(__xludf.dummyfunction("COUNT(FILTER(Ingredientes!A:A,Ingredientes!A:A=A54))"),5)</f>
        <v>5</v>
      </c>
      <c r="E54" s="8" t="str">
        <f aca="false">IFERROR(__xludf.dummyfunction("TRANSPOSE(IFERROR((FILTER(Ingredientes!D:D,A54=Ingredientes!A:A))))"),"Arroz cocido para roll")</f>
        <v>Arroz cocido para roll</v>
      </c>
      <c r="F54" s="8" t="str">
        <f aca="false">IFERROR(__xludf.dummyfunction("""COMPUTED_VALUE"""),"Camarón cocido")</f>
        <v>Camarón cocido</v>
      </c>
      <c r="G54" s="8" t="str">
        <f aca="false">IFERROR(__xludf.dummyfunction("""COMPUTED_VALUE"""),"Palta cortada para envoltura")</f>
        <v>Palta cortada para envoltura</v>
      </c>
      <c r="H54" s="8" t="str">
        <f aca="false">IFERROR(__xludf.dummyfunction("""COMPUTED_VALUE"""),"Queso crema para roll")</f>
        <v>Queso crema para roll</v>
      </c>
      <c r="I54" s="8" t="str">
        <f aca="false">IFERROR(__xludf.dummyfunction("""COMPUTED_VALUE"""),"Nori entero cortado para roll")</f>
        <v>Nori entero cortado para roll</v>
      </c>
      <c r="J54" s="8"/>
      <c r="K54" s="4" t="n">
        <f aca="false">IFERROR(__xludf.dummyfunction("sum(iferror(filter(Ingredientes!J:J,Ingredientes!A:A=A54)))"),8)</f>
        <v>8</v>
      </c>
      <c r="L54" s="4" t="n">
        <f aca="false">IFERROR(__xludf.dummyfunction("sum(filter(Productos!K:K,Productos!A:A=A54))"),1)</f>
        <v>1</v>
      </c>
      <c r="M54" s="4" t="str">
        <f aca="false" t="array" ref="M54:M54">INDEX(Productos!$AC:AC,MATCH($A54,Productos!$A:$A),1)</f>
        <v>cocina</v>
      </c>
      <c r="N54" s="4"/>
      <c r="O54" s="4"/>
      <c r="P54" s="4"/>
      <c r="Q54" s="4"/>
      <c r="R54" s="4"/>
      <c r="S54" s="4"/>
      <c r="T54" s="4"/>
      <c r="U54" s="4"/>
      <c r="V54" s="4"/>
      <c r="W54" s="4"/>
      <c r="X54" s="4"/>
      <c r="Y54" s="4"/>
      <c r="Z54" s="4"/>
      <c r="AA54" s="4"/>
      <c r="AB54" s="4"/>
    </row>
    <row r="55" customFormat="false" ht="22" hidden="false" customHeight="false" outlineLevel="0" collapsed="false">
      <c r="A55" s="4" t="n">
        <v>10014</v>
      </c>
      <c r="B55" s="4" t="str">
        <f aca="false" t="array" ref="B55:B55">INDEX(Productos!$A:B,MATCH($A55,Productos!$A:$A),COLUMN(B55))</f>
        <v>Akita</v>
      </c>
      <c r="C55" s="5" t="str">
        <f aca="false" t="array" ref="C55:C55">INDEX(Productos!$A:C,MATCH($A55,Productos!$A:$A),COLUMN(C55))</f>
        <v>Roll kanikama y queso crema, envuelto en palta</v>
      </c>
      <c r="D55" s="4" t="n">
        <f aca="false">IFERROR(__xludf.dummyfunction("COUNT(FILTER(Ingredientes!A:A,Ingredientes!A:A=A55))"),5)</f>
        <v>5</v>
      </c>
      <c r="E55" s="8" t="str">
        <f aca="false">IFERROR(__xludf.dummyfunction("TRANSPOSE(IFERROR((FILTER(Ingredientes!D:D,A55=Ingredientes!A:A))))"),"Arroz cocido para roll")</f>
        <v>Arroz cocido para roll</v>
      </c>
      <c r="F55" s="8" t="str">
        <f aca="false">IFERROR(__xludf.dummyfunction("""COMPUTED_VALUE"""),"Kanikama para roll")</f>
        <v>Kanikama para roll</v>
      </c>
      <c r="G55" s="8" t="str">
        <f aca="false">IFERROR(__xludf.dummyfunction("""COMPUTED_VALUE"""),"Palta cortada para envoltura")</f>
        <v>Palta cortada para envoltura</v>
      </c>
      <c r="H55" s="8" t="str">
        <f aca="false">IFERROR(__xludf.dummyfunction("""COMPUTED_VALUE"""),"Queso crema para roll")</f>
        <v>Queso crema para roll</v>
      </c>
      <c r="I55" s="8" t="str">
        <f aca="false">IFERROR(__xludf.dummyfunction("""COMPUTED_VALUE"""),"Nori entero cortado para roll")</f>
        <v>Nori entero cortado para roll</v>
      </c>
      <c r="J55" s="8"/>
      <c r="K55" s="4" t="n">
        <f aca="false">IFERROR(__xludf.dummyfunction("sum(iferror(filter(Ingredientes!J:J,Ingredientes!A:A=A55)))"),5)</f>
        <v>5</v>
      </c>
      <c r="L55" s="4" t="n">
        <f aca="false">IFERROR(__xludf.dummyfunction("sum(filter(Productos!K:K,Productos!A:A=A55))"),1)</f>
        <v>1</v>
      </c>
      <c r="M55" s="4" t="str">
        <f aca="false" t="array" ref="M55:M55">INDEX(Productos!$AC:AC,MATCH($A55,Productos!$A:$A),1)</f>
        <v>cocina</v>
      </c>
      <c r="N55" s="4"/>
      <c r="O55" s="4"/>
      <c r="P55" s="4"/>
      <c r="Q55" s="4"/>
      <c r="R55" s="4"/>
      <c r="S55" s="4"/>
      <c r="T55" s="4"/>
      <c r="U55" s="4"/>
      <c r="V55" s="4"/>
      <c r="W55" s="4"/>
      <c r="X55" s="4"/>
      <c r="Y55" s="4"/>
      <c r="Z55" s="4"/>
      <c r="AA55" s="4"/>
      <c r="AB55" s="4"/>
    </row>
    <row r="56" customFormat="false" ht="22" hidden="false" customHeight="false" outlineLevel="0" collapsed="false">
      <c r="A56" s="4" t="n">
        <v>10015</v>
      </c>
      <c r="B56" s="4" t="str">
        <f aca="false" t="array" ref="B56:B56">INDEX(Productos!$A:B,MATCH($A56,Productos!$A:$A),COLUMN(B56))</f>
        <v>Delicia</v>
      </c>
      <c r="C56" s="5" t="str">
        <f aca="false" t="array" ref="C56:C56">INDEX(Productos!$A:C,MATCH($A56,Productos!$A:$A),COLUMN(C56))</f>
        <v>Roll con camarón, queso crema y ciboulette, envuelto en palta</v>
      </c>
      <c r="D56" s="4" t="n">
        <f aca="false">IFERROR(__xludf.dummyfunction("COUNT(FILTER(Ingredientes!A:A,Ingredientes!A:A=A56))"),6)</f>
        <v>6</v>
      </c>
      <c r="E56" s="8" t="str">
        <f aca="false">IFERROR(__xludf.dummyfunction("TRANSPOSE(IFERROR((FILTER(Ingredientes!D:D,A56=Ingredientes!A:A))))"),"Arroz cocido para roll")</f>
        <v>Arroz cocido para roll</v>
      </c>
      <c r="F56" s="8" t="str">
        <f aca="false">IFERROR(__xludf.dummyfunction("""COMPUTED_VALUE"""),"Atún cortado para roll")</f>
        <v>Atún cortado para roll</v>
      </c>
      <c r="G56" s="8" t="str">
        <f aca="false">IFERROR(__xludf.dummyfunction("""COMPUTED_VALUE"""),"Ciboulette picado para roll")</f>
        <v>Ciboulette picado para roll</v>
      </c>
      <c r="H56" s="8" t="str">
        <f aca="false">IFERROR(__xludf.dummyfunction("""COMPUTED_VALUE"""),"Palta cortada para envoltura")</f>
        <v>Palta cortada para envoltura</v>
      </c>
      <c r="I56" s="8" t="str">
        <f aca="false">IFERROR(__xludf.dummyfunction("""COMPUTED_VALUE"""),"Queso crema para roll")</f>
        <v>Queso crema para roll</v>
      </c>
      <c r="J56" s="8" t="str">
        <f aca="false">IFERROR(__xludf.dummyfunction("""COMPUTED_VALUE"""),"Nori entero cortado para roll")</f>
        <v>Nori entero cortado para roll</v>
      </c>
      <c r="K56" s="4" t="n">
        <f aca="false">IFERROR(__xludf.dummyfunction("sum(iferror(filter(Ingredientes!J:J,Ingredientes!A:A=A56)))"),6)</f>
        <v>6</v>
      </c>
      <c r="L56" s="4" t="n">
        <f aca="false">IFERROR(__xludf.dummyfunction("sum(filter(Productos!K:K,Productos!A:A=A56))"),1)</f>
        <v>1</v>
      </c>
      <c r="M56" s="4" t="str">
        <f aca="false" t="array" ref="M56:M56">INDEX(Productos!$AC:AC,MATCH($A56,Productos!$A:$A),1)</f>
        <v>cocina</v>
      </c>
      <c r="N56" s="4"/>
      <c r="O56" s="4"/>
      <c r="P56" s="4"/>
      <c r="Q56" s="4"/>
      <c r="R56" s="4"/>
      <c r="S56" s="4"/>
      <c r="T56" s="4"/>
      <c r="U56" s="4"/>
      <c r="V56" s="4"/>
      <c r="W56" s="4"/>
      <c r="X56" s="4"/>
      <c r="Y56" s="4"/>
      <c r="Z56" s="4"/>
      <c r="AA56" s="4"/>
      <c r="AB56" s="4"/>
    </row>
    <row r="57" customFormat="false" ht="22" hidden="false" customHeight="false" outlineLevel="0" collapsed="false">
      <c r="A57" s="4" t="n">
        <v>10016</v>
      </c>
      <c r="B57" s="4" t="str">
        <f aca="false" t="array" ref="B57:B57">INDEX(Productos!$A:B,MATCH($A57,Productos!$A:$A),COLUMN(B57))</f>
        <v>Beto</v>
      </c>
      <c r="C57" s="5" t="str">
        <f aca="false" t="array" ref="C57:C57">INDEX(Productos!$A:C,MATCH($A57,Productos!$A:$A),COLUMN(C57))</f>
        <v>Roll con salmón, camarón y queso crema, envuelto en palta</v>
      </c>
      <c r="D57" s="4" t="n">
        <f aca="false">IFERROR(__xludf.dummyfunction("COUNT(FILTER(Ingredientes!A:A,Ingredientes!A:A=A57))"),6)</f>
        <v>6</v>
      </c>
      <c r="E57" s="8" t="str">
        <f aca="false">IFERROR(__xludf.dummyfunction("TRANSPOSE(IFERROR((FILTER(Ingredientes!D:D,A57=Ingredientes!A:A))))"),"Arroz cocido para roll")</f>
        <v>Arroz cocido para roll</v>
      </c>
      <c r="F57" s="8" t="str">
        <f aca="false">IFERROR(__xludf.dummyfunction("""COMPUTED_VALUE"""),"Camarón cocido")</f>
        <v>Camarón cocido</v>
      </c>
      <c r="G57" s="8" t="str">
        <f aca="false">IFERROR(__xludf.dummyfunction("""COMPUTED_VALUE"""),"Palta cortada para envoltura")</f>
        <v>Palta cortada para envoltura</v>
      </c>
      <c r="H57" s="8" t="str">
        <f aca="false">IFERROR(__xludf.dummyfunction("""COMPUTED_VALUE"""),"Queso crema para roll")</f>
        <v>Queso crema para roll</v>
      </c>
      <c r="I57" s="8" t="str">
        <f aca="false">IFERROR(__xludf.dummyfunction("""COMPUTED_VALUE"""),"Salmón cortado para roll")</f>
        <v>Salmón cortado para roll</v>
      </c>
      <c r="J57" s="8" t="str">
        <f aca="false">IFERROR(__xludf.dummyfunction("""COMPUTED_VALUE"""),"Nori entero cortado para roll")</f>
        <v>Nori entero cortado para roll</v>
      </c>
      <c r="K57" s="4" t="n">
        <f aca="false">IFERROR(__xludf.dummyfunction("sum(iferror(filter(Ingredientes!J:J,Ingredientes!A:A=A57)))"),9)</f>
        <v>9</v>
      </c>
      <c r="L57" s="4" t="n">
        <f aca="false">IFERROR(__xludf.dummyfunction("sum(filter(Productos!K:K,Productos!A:A=A57))"),1)</f>
        <v>1</v>
      </c>
      <c r="M57" s="4" t="str">
        <f aca="false" t="array" ref="M57:M57">INDEX(Productos!$AC:AC,MATCH($A57,Productos!$A:$A),1)</f>
        <v>cocina</v>
      </c>
      <c r="N57" s="4"/>
      <c r="O57" s="4"/>
      <c r="P57" s="4"/>
      <c r="Q57" s="4"/>
      <c r="R57" s="4"/>
      <c r="S57" s="4"/>
      <c r="T57" s="4"/>
      <c r="U57" s="4"/>
      <c r="V57" s="4"/>
      <c r="W57" s="4"/>
      <c r="X57" s="4"/>
      <c r="Y57" s="4"/>
      <c r="Z57" s="4"/>
      <c r="AA57" s="4"/>
      <c r="AB57" s="4"/>
    </row>
    <row r="58" customFormat="false" ht="22" hidden="false" customHeight="false" outlineLevel="0" collapsed="false">
      <c r="A58" s="4" t="n">
        <v>10017</v>
      </c>
      <c r="B58" s="4" t="str">
        <f aca="false" t="array" ref="B58:B58">INDEX(Productos!$A:B,MATCH($A58,Productos!$A:$A),COLUMN(B58))</f>
        <v>Avocado</v>
      </c>
      <c r="C58" s="5" t="str">
        <f aca="false" t="array" ref="C58:C58">INDEX(Productos!$A:C,MATCH($A58,Productos!$A:$A),COLUMN(C58))</f>
        <v>Roll salmón y queso crema, envuelto en palta</v>
      </c>
      <c r="D58" s="4" t="n">
        <f aca="false">IFERROR(__xludf.dummyfunction("COUNT(FILTER(Ingredientes!A:A,Ingredientes!A:A=A58))"),5)</f>
        <v>5</v>
      </c>
      <c r="E58" s="8" t="str">
        <f aca="false">IFERROR(__xludf.dummyfunction("TRANSPOSE(IFERROR((FILTER(Ingredientes!D:D,A58=Ingredientes!A:A))))"),"Arroz cocido para roll")</f>
        <v>Arroz cocido para roll</v>
      </c>
      <c r="F58" s="8" t="str">
        <f aca="false">IFERROR(__xludf.dummyfunction("""COMPUTED_VALUE"""),"Palta cortada para envoltura")</f>
        <v>Palta cortada para envoltura</v>
      </c>
      <c r="G58" s="8" t="str">
        <f aca="false">IFERROR(__xludf.dummyfunction("""COMPUTED_VALUE"""),"Queso crema para roll")</f>
        <v>Queso crema para roll</v>
      </c>
      <c r="H58" s="8" t="str">
        <f aca="false">IFERROR(__xludf.dummyfunction("""COMPUTED_VALUE"""),"Salmón cortado para roll")</f>
        <v>Salmón cortado para roll</v>
      </c>
      <c r="I58" s="8" t="str">
        <f aca="false">IFERROR(__xludf.dummyfunction("""COMPUTED_VALUE"""),"Nori entero cortado para roll")</f>
        <v>Nori entero cortado para roll</v>
      </c>
      <c r="J58" s="8"/>
      <c r="K58" s="4" t="n">
        <f aca="false">IFERROR(__xludf.dummyfunction("sum(iferror(filter(Ingredientes!J:J,Ingredientes!A:A=A58)))"),5)</f>
        <v>5</v>
      </c>
      <c r="L58" s="4" t="n">
        <f aca="false">IFERROR(__xludf.dummyfunction("sum(filter(Productos!K:K,Productos!A:A=A58))"),1)</f>
        <v>1</v>
      </c>
      <c r="M58" s="4" t="str">
        <f aca="false" t="array" ref="M58:M58">INDEX(Productos!$AC:AC,MATCH($A58,Productos!$A:$A),1)</f>
        <v>cocina</v>
      </c>
      <c r="N58" s="4"/>
      <c r="O58" s="4"/>
      <c r="P58" s="4"/>
      <c r="Q58" s="4"/>
      <c r="R58" s="4"/>
      <c r="S58" s="4"/>
      <c r="T58" s="4"/>
      <c r="U58" s="4"/>
      <c r="V58" s="4"/>
      <c r="W58" s="4"/>
      <c r="X58" s="4"/>
      <c r="Y58" s="4"/>
      <c r="Z58" s="4"/>
      <c r="AA58" s="4"/>
      <c r="AB58" s="4"/>
    </row>
    <row r="59" customFormat="false" ht="22" hidden="false" customHeight="false" outlineLevel="0" collapsed="false">
      <c r="A59" s="4" t="n">
        <v>10018</v>
      </c>
      <c r="B59" s="4" t="str">
        <f aca="false" t="array" ref="B59:B59">INDEX(Productos!$A:B,MATCH($A59,Productos!$A:$A),COLUMN(B59))</f>
        <v>Maki Salmón</v>
      </c>
      <c r="C59" s="5" t="str">
        <f aca="false" t="array" ref="C59:C59">INDEX(Productos!$A:C,MATCH($A59,Productos!$A:$A),COLUMN(C59))</f>
        <v>Kanikama, palta y queso crema envuelto en salmón</v>
      </c>
      <c r="D59" s="4" t="n">
        <f aca="false">IFERROR(__xludf.dummyfunction("COUNT(FILTER(Ingredientes!A:A,Ingredientes!A:A=A59))"),5)</f>
        <v>5</v>
      </c>
      <c r="E59" s="8" t="str">
        <f aca="false">IFERROR(__xludf.dummyfunction("TRANSPOSE(IFERROR((FILTER(Ingredientes!D:D,A59=Ingredientes!A:A))))"),"Arroz cocido para roll")</f>
        <v>Arroz cocido para roll</v>
      </c>
      <c r="F59" s="8" t="str">
        <f aca="false">IFERROR(__xludf.dummyfunction("""COMPUTED_VALUE"""),"Kanikama para roll")</f>
        <v>Kanikama para roll</v>
      </c>
      <c r="G59" s="8" t="str">
        <f aca="false">IFERROR(__xludf.dummyfunction("""COMPUTED_VALUE"""),"Queso crema para roll")</f>
        <v>Queso crema para roll</v>
      </c>
      <c r="H59" s="8" t="str">
        <f aca="false">IFERROR(__xludf.dummyfunction("""COMPUTED_VALUE"""),"Salmón cortado para envoltura")</f>
        <v>Salmón cortado para envoltura</v>
      </c>
      <c r="I59" s="8" t="str">
        <f aca="false">IFERROR(__xludf.dummyfunction("""COMPUTED_VALUE"""),"Nori entero cortado para roll")</f>
        <v>Nori entero cortado para roll</v>
      </c>
      <c r="J59" s="8"/>
      <c r="K59" s="4" t="n">
        <f aca="false">IFERROR(__xludf.dummyfunction("sum(iferror(filter(Ingredientes!J:J,Ingredientes!A:A=A59)))"),5)</f>
        <v>5</v>
      </c>
      <c r="L59" s="4" t="n">
        <f aca="false">IFERROR(__xludf.dummyfunction("sum(filter(Productos!K:K,Productos!A:A=A59))"),1)</f>
        <v>1</v>
      </c>
      <c r="M59" s="4" t="str">
        <f aca="false" t="array" ref="M59:M59">INDEX(Productos!$AC:AC,MATCH($A59,Productos!$A:$A),1)</f>
        <v>cocina</v>
      </c>
      <c r="N59" s="4"/>
      <c r="O59" s="4"/>
      <c r="P59" s="4"/>
      <c r="Q59" s="4"/>
      <c r="R59" s="4"/>
      <c r="S59" s="4"/>
      <c r="T59" s="4"/>
      <c r="U59" s="4"/>
      <c r="V59" s="4"/>
      <c r="W59" s="4"/>
      <c r="X59" s="4"/>
      <c r="Y59" s="4"/>
      <c r="Z59" s="4"/>
      <c r="AA59" s="4"/>
      <c r="AB59" s="4"/>
    </row>
    <row r="60" customFormat="false" ht="22" hidden="false" customHeight="false" outlineLevel="0" collapsed="false">
      <c r="A60" s="4" t="n">
        <v>10019</v>
      </c>
      <c r="B60" s="4" t="str">
        <f aca="false" t="array" ref="B60:B60">INDEX(Productos!$A:B,MATCH($A60,Productos!$A:$A),COLUMN(B60))</f>
        <v>Ebi Salmón</v>
      </c>
      <c r="C60" s="5" t="str">
        <f aca="false" t="array" ref="C60:C60">INDEX(Productos!$A:C,MATCH($A60,Productos!$A:$A),COLUMN(C60))</f>
        <v>Camarón y palta envuelto en salmón</v>
      </c>
      <c r="D60" s="4" t="n">
        <f aca="false">IFERROR(__xludf.dummyfunction("COUNT(FILTER(Ingredientes!A:A,Ingredientes!A:A=A60))"),5)</f>
        <v>5</v>
      </c>
      <c r="E60" s="8" t="str">
        <f aca="false">IFERROR(__xludf.dummyfunction("TRANSPOSE(IFERROR((FILTER(Ingredientes!D:D,A60=Ingredientes!A:A))))"),"Arroz cocido para roll")</f>
        <v>Arroz cocido para roll</v>
      </c>
      <c r="F60" s="8" t="str">
        <f aca="false">IFERROR(__xludf.dummyfunction("""COMPUTED_VALUE"""),"Camarón cocido")</f>
        <v>Camarón cocido</v>
      </c>
      <c r="G60" s="8" t="str">
        <f aca="false">IFERROR(__xludf.dummyfunction("""COMPUTED_VALUE"""),"Palta cortada para roll")</f>
        <v>Palta cortada para roll</v>
      </c>
      <c r="H60" s="8" t="str">
        <f aca="false">IFERROR(__xludf.dummyfunction("""COMPUTED_VALUE"""),"Nori entero cortado para roll")</f>
        <v>Nori entero cortado para roll</v>
      </c>
      <c r="I60" s="8" t="str">
        <f aca="false">IFERROR(__xludf.dummyfunction("""COMPUTED_VALUE"""),"Salmón cortado para envoltura")</f>
        <v>Salmón cortado para envoltura</v>
      </c>
      <c r="J60" s="8"/>
      <c r="K60" s="4" t="n">
        <f aca="false">IFERROR(__xludf.dummyfunction("sum(iferror(filter(Ingredientes!J:J,Ingredientes!A:A=A60)))"),8)</f>
        <v>8</v>
      </c>
      <c r="L60" s="4" t="n">
        <f aca="false">IFERROR(__xludf.dummyfunction("sum(filter(Productos!K:K,Productos!A:A=A60))"),1)</f>
        <v>1</v>
      </c>
      <c r="M60" s="4" t="str">
        <f aca="false" t="array" ref="M60:M60">INDEX(Productos!$AC:AC,MATCH($A60,Productos!$A:$A),1)</f>
        <v>cocina</v>
      </c>
      <c r="N60" s="4"/>
      <c r="O60" s="4"/>
      <c r="P60" s="4"/>
      <c r="Q60" s="4"/>
      <c r="R60" s="4"/>
      <c r="S60" s="4"/>
      <c r="T60" s="4"/>
      <c r="U60" s="4"/>
      <c r="V60" s="4"/>
      <c r="W60" s="4"/>
      <c r="X60" s="4"/>
      <c r="Y60" s="4"/>
      <c r="Z60" s="4"/>
      <c r="AA60" s="4"/>
      <c r="AB60" s="4"/>
    </row>
    <row r="61" customFormat="false" ht="22" hidden="false" customHeight="false" outlineLevel="0" collapsed="false">
      <c r="A61" s="4" t="n">
        <v>10020</v>
      </c>
      <c r="B61" s="4" t="str">
        <f aca="false" t="array" ref="B61:B61">INDEX(Productos!$A:B,MATCH($A61,Productos!$A:$A),COLUMN(B61))</f>
        <v>Ebi Salmón Especial</v>
      </c>
      <c r="C61" s="5" t="str">
        <f aca="false" t="array" ref="C61:C61">INDEX(Productos!$A:C,MATCH($A61,Productos!$A:$A),COLUMN(C61))</f>
        <v>Camarón, queso crema y cebollín, envuelto en salmón</v>
      </c>
      <c r="D61" s="4" t="n">
        <f aca="false">IFERROR(__xludf.dummyfunction("COUNT(FILTER(Ingredientes!A:A,Ingredientes!A:A=A61))"),6)</f>
        <v>6</v>
      </c>
      <c r="E61" s="8" t="str">
        <f aca="false">IFERROR(__xludf.dummyfunction("TRANSPOSE(IFERROR((FILTER(Ingredientes!D:D,A61=Ingredientes!A:A))))"),"Arroz cocido para roll")</f>
        <v>Arroz cocido para roll</v>
      </c>
      <c r="F61" s="8" t="str">
        <f aca="false">IFERROR(__xludf.dummyfunction("""COMPUTED_VALUE"""),"Nori entero cortado para roll")</f>
        <v>Nori entero cortado para roll</v>
      </c>
      <c r="G61" s="8" t="str">
        <f aca="false">IFERROR(__xludf.dummyfunction("""COMPUTED_VALUE"""),"Camarón cocido")</f>
        <v>Camarón cocido</v>
      </c>
      <c r="H61" s="8" t="str">
        <f aca="false">IFERROR(__xludf.dummyfunction("""COMPUTED_VALUE"""),"Queso crema para roll")</f>
        <v>Queso crema para roll</v>
      </c>
      <c r="I61" s="8" t="str">
        <f aca="false">IFERROR(__xludf.dummyfunction("""COMPUTED_VALUE"""),"Cebollín cortado para roll")</f>
        <v>Cebollín cortado para roll</v>
      </c>
      <c r="J61" s="8" t="str">
        <f aca="false">IFERROR(__xludf.dummyfunction("""COMPUTED_VALUE"""),"Salmón cortado para envoltura")</f>
        <v>Salmón cortado para envoltura</v>
      </c>
      <c r="K61" s="4" t="n">
        <f aca="false">IFERROR(__xludf.dummyfunction("sum(iferror(filter(Ingredientes!J:J,Ingredientes!A:A=A61)))"),9)</f>
        <v>9</v>
      </c>
      <c r="L61" s="4" t="n">
        <f aca="false">IFERROR(__xludf.dummyfunction("sum(filter(Productos!K:K,Productos!A:A=A61))"),1)</f>
        <v>1</v>
      </c>
      <c r="M61" s="4" t="str">
        <f aca="false" t="array" ref="M61:M61">INDEX(Productos!$AC:AC,MATCH($A61,Productos!$A:$A),1)</f>
        <v>cocina</v>
      </c>
      <c r="N61" s="4"/>
      <c r="O61" s="4"/>
      <c r="P61" s="4"/>
      <c r="Q61" s="4"/>
      <c r="R61" s="4"/>
      <c r="S61" s="4"/>
      <c r="T61" s="4"/>
      <c r="U61" s="4"/>
      <c r="V61" s="4"/>
      <c r="W61" s="4"/>
      <c r="X61" s="4"/>
      <c r="Y61" s="4"/>
      <c r="Z61" s="4"/>
      <c r="AA61" s="4"/>
      <c r="AB61" s="4"/>
    </row>
    <row r="62" customFormat="false" ht="22" hidden="false" customHeight="false" outlineLevel="0" collapsed="false">
      <c r="A62" s="4" t="n">
        <v>10021</v>
      </c>
      <c r="B62" s="4" t="str">
        <f aca="false" t="array" ref="B62:B62">INDEX(Productos!$A:B,MATCH($A62,Productos!$A:$A),COLUMN(B62))</f>
        <v>Maguro Salmón</v>
      </c>
      <c r="C62" s="5" t="str">
        <f aca="false" t="array" ref="C62:C62">INDEX(Productos!$A:C,MATCH($A62,Productos!$A:$A),COLUMN(C62))</f>
        <v>Atún, palta y cebollín, envuelto en salmón</v>
      </c>
      <c r="D62" s="4" t="n">
        <f aca="false">IFERROR(__xludf.dummyfunction("COUNT(FILTER(Ingredientes!A:A,Ingredientes!A:A=A62))"),5)</f>
        <v>5</v>
      </c>
      <c r="E62" s="8" t="str">
        <f aca="false">IFERROR(__xludf.dummyfunction("TRANSPOSE(IFERROR((FILTER(Ingredientes!D:D,A62=Ingredientes!A:A))))"),"Arroz cocido para roll")</f>
        <v>Arroz cocido para roll</v>
      </c>
      <c r="F62" s="8" t="str">
        <f aca="false">IFERROR(__xludf.dummyfunction("""COMPUTED_VALUE"""),"Nori entero cortado para roll")</f>
        <v>Nori entero cortado para roll</v>
      </c>
      <c r="G62" s="8" t="str">
        <f aca="false">IFERROR(__xludf.dummyfunction("""COMPUTED_VALUE"""),"Atún cortado para roll")</f>
        <v>Atún cortado para roll</v>
      </c>
      <c r="H62" s="8" t="str">
        <f aca="false">IFERROR(__xludf.dummyfunction("""COMPUTED_VALUE"""),"Cebollín cortado para roll")</f>
        <v>Cebollín cortado para roll</v>
      </c>
      <c r="I62" s="8" t="str">
        <f aca="false">IFERROR(__xludf.dummyfunction("""COMPUTED_VALUE"""),"Salmón cortado para envoltura")</f>
        <v>Salmón cortado para envoltura</v>
      </c>
      <c r="J62" s="8"/>
      <c r="K62" s="4" t="n">
        <f aca="false">IFERROR(__xludf.dummyfunction("sum(iferror(filter(Ingredientes!J:J,Ingredientes!A:A=A62)))"),5)</f>
        <v>5</v>
      </c>
      <c r="L62" s="4" t="n">
        <f aca="false">IFERROR(__xludf.dummyfunction("sum(filter(Productos!K:K,Productos!A:A=A62))"),1)</f>
        <v>1</v>
      </c>
      <c r="M62" s="4" t="str">
        <f aca="false" t="array" ref="M62:M62">INDEX(Productos!$AC:AC,MATCH($A62,Productos!$A:$A),1)</f>
        <v>cocina</v>
      </c>
      <c r="N62" s="4"/>
      <c r="O62" s="4"/>
      <c r="P62" s="4"/>
      <c r="Q62" s="4"/>
      <c r="R62" s="4"/>
      <c r="S62" s="4"/>
      <c r="T62" s="4"/>
      <c r="U62" s="4"/>
      <c r="V62" s="4"/>
      <c r="W62" s="4"/>
      <c r="X62" s="4"/>
      <c r="Y62" s="4"/>
      <c r="Z62" s="4"/>
      <c r="AA62" s="4"/>
      <c r="AB62" s="4"/>
    </row>
    <row r="63" customFormat="false" ht="22" hidden="false" customHeight="false" outlineLevel="0" collapsed="false">
      <c r="A63" s="4" t="n">
        <v>10022</v>
      </c>
      <c r="B63" s="4" t="str">
        <f aca="false" t="array" ref="B63:B63">INDEX(Productos!$A:B,MATCH($A63,Productos!$A:$A),COLUMN(B63))</f>
        <v>Sake Ciboulette</v>
      </c>
      <c r="C63" s="5" t="str">
        <f aca="false" t="array" ref="C63:C63">INDEX(Productos!$A:C,MATCH($A63,Productos!$A:$A),COLUMN(C63))</f>
        <v>Salmón, palta y queso crema envuelto en Ciboulette</v>
      </c>
      <c r="D63" s="4" t="n">
        <f aca="false">IFERROR(__xludf.dummyfunction("COUNT(FILTER(Ingredientes!A:A,Ingredientes!A:A=A63))"),6)</f>
        <v>6</v>
      </c>
      <c r="E63" s="8" t="str">
        <f aca="false">IFERROR(__xludf.dummyfunction("TRANSPOSE(IFERROR((FILTER(Ingredientes!D:D,A63=Ingredientes!A:A))))"),"Arroz cocido para roll")</f>
        <v>Arroz cocido para roll</v>
      </c>
      <c r="F63" s="8" t="str">
        <f aca="false">IFERROR(__xludf.dummyfunction("""COMPUTED_VALUE"""),"Nori entero cortado para roll")</f>
        <v>Nori entero cortado para roll</v>
      </c>
      <c r="G63" s="8" t="str">
        <f aca="false">IFERROR(__xludf.dummyfunction("""COMPUTED_VALUE"""),"Salmón cortado para roll")</f>
        <v>Salmón cortado para roll</v>
      </c>
      <c r="H63" s="8" t="str">
        <f aca="false">IFERROR(__xludf.dummyfunction("""COMPUTED_VALUE"""),"Queso crema para roll")</f>
        <v>Queso crema para roll</v>
      </c>
      <c r="I63" s="8" t="str">
        <f aca="false">IFERROR(__xludf.dummyfunction("""COMPUTED_VALUE"""),"Palta cortada para roll")</f>
        <v>Palta cortada para roll</v>
      </c>
      <c r="J63" s="8" t="str">
        <f aca="false">IFERROR(__xludf.dummyfunction("""COMPUTED_VALUE"""),"Ciboulette picado para envoltura")</f>
        <v>Ciboulette picado para envoltura</v>
      </c>
      <c r="K63" s="4" t="n">
        <f aca="false">IFERROR(__xludf.dummyfunction("sum(iferror(filter(Ingredientes!J:J,Ingredientes!A:A=A63)))"),6)</f>
        <v>6</v>
      </c>
      <c r="L63" s="4" t="n">
        <f aca="false">IFERROR(__xludf.dummyfunction("sum(filter(Productos!K:K,Productos!A:A=A63))"),1)</f>
        <v>1</v>
      </c>
      <c r="M63" s="4" t="str">
        <f aca="false" t="array" ref="M63:M63">INDEX(Productos!$AC:AC,MATCH($A63,Productos!$A:$A),1)</f>
        <v>cocina</v>
      </c>
      <c r="N63" s="4"/>
      <c r="O63" s="4"/>
      <c r="P63" s="4"/>
      <c r="Q63" s="4"/>
      <c r="R63" s="4"/>
      <c r="S63" s="4"/>
      <c r="T63" s="4"/>
      <c r="U63" s="4"/>
      <c r="V63" s="4"/>
      <c r="W63" s="4"/>
      <c r="X63" s="4"/>
      <c r="Y63" s="4"/>
      <c r="Z63" s="4"/>
      <c r="AA63" s="4"/>
      <c r="AB63" s="4"/>
    </row>
    <row r="64" customFormat="false" ht="22" hidden="false" customHeight="false" outlineLevel="0" collapsed="false">
      <c r="A64" s="4" t="n">
        <v>10023</v>
      </c>
      <c r="B64" s="4" t="str">
        <f aca="false" t="array" ref="B64:B64">INDEX(Productos!$A:B,MATCH($A64,Productos!$A:$A),COLUMN(B64))</f>
        <v>Maguro Ciboulette</v>
      </c>
      <c r="C64" s="5" t="str">
        <f aca="false" t="array" ref="C64:C64">INDEX(Productos!$A:C,MATCH($A64,Productos!$A:$A),COLUMN(C64))</f>
        <v>Atún, palta y queso crema envuelto en Ciboulette</v>
      </c>
      <c r="D64" s="4" t="n">
        <f aca="false">IFERROR(__xludf.dummyfunction("COUNT(FILTER(Ingredientes!A:A,Ingredientes!A:A=A64))"),6)</f>
        <v>6</v>
      </c>
      <c r="E64" s="8" t="str">
        <f aca="false">IFERROR(__xludf.dummyfunction("TRANSPOSE(IFERROR((FILTER(Ingredientes!D:D,A64=Ingredientes!A:A))))"),"Arroz cocido para roll")</f>
        <v>Arroz cocido para roll</v>
      </c>
      <c r="F64" s="8" t="str">
        <f aca="false">IFERROR(__xludf.dummyfunction("""COMPUTED_VALUE"""),"Nori entero cortado para roll")</f>
        <v>Nori entero cortado para roll</v>
      </c>
      <c r="G64" s="8" t="str">
        <f aca="false">IFERROR(__xludf.dummyfunction("""COMPUTED_VALUE"""),"Atún cortado para roll")</f>
        <v>Atún cortado para roll</v>
      </c>
      <c r="H64" s="8" t="str">
        <f aca="false">IFERROR(__xludf.dummyfunction("""COMPUTED_VALUE"""),"Queso crema para roll")</f>
        <v>Queso crema para roll</v>
      </c>
      <c r="I64" s="8" t="str">
        <f aca="false">IFERROR(__xludf.dummyfunction("""COMPUTED_VALUE"""),"Palta cortada para roll")</f>
        <v>Palta cortada para roll</v>
      </c>
      <c r="J64" s="8" t="str">
        <f aca="false">IFERROR(__xludf.dummyfunction("""COMPUTED_VALUE"""),"Ciboulette picado para envoltura")</f>
        <v>Ciboulette picado para envoltura</v>
      </c>
      <c r="K64" s="4" t="n">
        <f aca="false">IFERROR(__xludf.dummyfunction("sum(iferror(filter(Ingredientes!J:J,Ingredientes!A:A=A64)))"),6)</f>
        <v>6</v>
      </c>
      <c r="L64" s="4" t="n">
        <f aca="false">IFERROR(__xludf.dummyfunction("sum(filter(Productos!K:K,Productos!A:A=A64))"),1)</f>
        <v>1</v>
      </c>
      <c r="M64" s="4" t="str">
        <f aca="false" t="array" ref="M64:M64">INDEX(Productos!$AC:AC,MATCH($A64,Productos!$A:$A),1)</f>
        <v>cocina</v>
      </c>
      <c r="N64" s="4"/>
      <c r="O64" s="4"/>
      <c r="P64" s="4"/>
      <c r="Q64" s="4"/>
      <c r="R64" s="4"/>
      <c r="S64" s="4"/>
      <c r="T64" s="4"/>
      <c r="U64" s="4"/>
      <c r="V64" s="4"/>
      <c r="W64" s="4"/>
      <c r="X64" s="4"/>
      <c r="Y64" s="4"/>
      <c r="Z64" s="4"/>
      <c r="AA64" s="4"/>
      <c r="AB64" s="4"/>
    </row>
    <row r="65" customFormat="false" ht="22" hidden="false" customHeight="false" outlineLevel="0" collapsed="false">
      <c r="A65" s="4" t="n">
        <v>10024</v>
      </c>
      <c r="B65" s="4" t="str">
        <f aca="false" t="array" ref="B65:B65">INDEX(Productos!$A:B,MATCH($A65,Productos!$A:$A),COLUMN(B65))</f>
        <v>Vegan Sésamo</v>
      </c>
      <c r="C65" s="5" t="str">
        <f aca="false" t="array" ref="C65:C65">INDEX(Productos!$A:C,MATCH($A65,Productos!$A:$A),COLUMN(C65))</f>
        <v>Roll vegano con palta, cebollín y ciboulette envuelto en sésamo</v>
      </c>
      <c r="D65" s="4" t="n">
        <f aca="false">IFERROR(__xludf.dummyfunction("COUNT(FILTER(Ingredientes!A:A,Ingredientes!A:A=A65))"),6)</f>
        <v>6</v>
      </c>
      <c r="E65" s="8" t="str">
        <f aca="false">IFERROR(__xludf.dummyfunction("TRANSPOSE(IFERROR((FILTER(Ingredientes!D:D,A65=Ingredientes!A:A))))"),"Arroz cocido para roll")</f>
        <v>Arroz cocido para roll</v>
      </c>
      <c r="F65" s="8" t="str">
        <f aca="false">IFERROR(__xludf.dummyfunction("""COMPUTED_VALUE"""),"Nori entero cortado para roll")</f>
        <v>Nori entero cortado para roll</v>
      </c>
      <c r="G65" s="8" t="str">
        <f aca="false">IFERROR(__xludf.dummyfunction("""COMPUTED_VALUE"""),"Palta cortada para roll")</f>
        <v>Palta cortada para roll</v>
      </c>
      <c r="H65" s="8" t="str">
        <f aca="false">IFERROR(__xludf.dummyfunction("""COMPUTED_VALUE"""),"Cebollín cortado para roll")</f>
        <v>Cebollín cortado para roll</v>
      </c>
      <c r="I65" s="8" t="str">
        <f aca="false">IFERROR(__xludf.dummyfunction("""COMPUTED_VALUE"""),"Ciboulette picado para roll")</f>
        <v>Ciboulette picado para roll</v>
      </c>
      <c r="J65" s="8" t="str">
        <f aca="false">IFERROR(__xludf.dummyfunction("""COMPUTED_VALUE"""),"Sésamo tostado para envoltura")</f>
        <v>Sésamo tostado para envoltura</v>
      </c>
      <c r="K65" s="4" t="n">
        <f aca="false">IFERROR(__xludf.dummyfunction("sum(iferror(filter(Ingredientes!J:J,Ingredientes!A:A=A65)))"),6)</f>
        <v>6</v>
      </c>
      <c r="L65" s="4" t="n">
        <f aca="false">IFERROR(__xludf.dummyfunction("sum(filter(Productos!K:K,Productos!A:A=A65))"),1)</f>
        <v>1</v>
      </c>
      <c r="M65" s="4" t="str">
        <f aca="false" t="array" ref="M65:M65">INDEX(Productos!$AC:AC,MATCH($A65,Productos!$A:$A),1)</f>
        <v>cocina</v>
      </c>
      <c r="N65" s="4"/>
      <c r="O65" s="4"/>
      <c r="P65" s="4"/>
      <c r="Q65" s="4"/>
      <c r="R65" s="4"/>
      <c r="S65" s="4"/>
      <c r="T65" s="4"/>
      <c r="U65" s="4"/>
      <c r="V65" s="4"/>
      <c r="W65" s="4"/>
      <c r="X65" s="4"/>
      <c r="Y65" s="4"/>
      <c r="Z65" s="4"/>
      <c r="AA65" s="4"/>
      <c r="AB65" s="4"/>
    </row>
    <row r="66" customFormat="false" ht="22" hidden="false" customHeight="false" outlineLevel="0" collapsed="false">
      <c r="A66" s="4" t="n">
        <v>10025</v>
      </c>
      <c r="B66" s="4" t="str">
        <f aca="false" t="array" ref="B66:B66">INDEX(Productos!$A:B,MATCH($A66,Productos!$A:$A),COLUMN(B66))</f>
        <v>Vegan Masago</v>
      </c>
      <c r="C66" s="5" t="str">
        <f aca="false" t="array" ref="C66:C66">INDEX(Productos!$A:C,MATCH($A66,Productos!$A:$A),COLUMN(C66))</f>
        <v>Roll vegano con palta, cebollín y ciboulette envuelto en masago</v>
      </c>
      <c r="D66" s="4" t="n">
        <f aca="false">IFERROR(__xludf.dummyfunction("COUNT(FILTER(Ingredientes!A:A,Ingredientes!A:A=A66))"),6)</f>
        <v>6</v>
      </c>
      <c r="E66" s="8" t="str">
        <f aca="false">IFERROR(__xludf.dummyfunction("TRANSPOSE(IFERROR((FILTER(Ingredientes!D:D,A66=Ingredientes!A:A))))"),"Arroz cocido para roll")</f>
        <v>Arroz cocido para roll</v>
      </c>
      <c r="F66" s="8" t="str">
        <f aca="false">IFERROR(__xludf.dummyfunction("""COMPUTED_VALUE"""),"Nori entero cortado para roll")</f>
        <v>Nori entero cortado para roll</v>
      </c>
      <c r="G66" s="8" t="str">
        <f aca="false">IFERROR(__xludf.dummyfunction("""COMPUTED_VALUE"""),"Palta cortada para roll")</f>
        <v>Palta cortada para roll</v>
      </c>
      <c r="H66" s="8" t="str">
        <f aca="false">IFERROR(__xludf.dummyfunction("""COMPUTED_VALUE"""),"Cebollín cortado para roll")</f>
        <v>Cebollín cortado para roll</v>
      </c>
      <c r="I66" s="8" t="str">
        <f aca="false">IFERROR(__xludf.dummyfunction("""COMPUTED_VALUE"""),"Ciboulette picado para roll")</f>
        <v>Ciboulette picado para roll</v>
      </c>
      <c r="J66" s="8" t="str">
        <f aca="false">IFERROR(__xludf.dummyfunction("""COMPUTED_VALUE"""),"Masago")</f>
        <v>Masago</v>
      </c>
      <c r="K66" s="4" t="n">
        <f aca="false">IFERROR(__xludf.dummyfunction("sum(iferror(filter(Ingredientes!J:J,Ingredientes!A:A=A66)))"),10)</f>
        <v>10</v>
      </c>
      <c r="L66" s="4" t="n">
        <f aca="false">IFERROR(__xludf.dummyfunction("sum(filter(Productos!K:K,Productos!A:A=A66))"),1)</f>
        <v>1</v>
      </c>
      <c r="M66" s="4" t="str">
        <f aca="false" t="array" ref="M66:M66">INDEX(Productos!$AC:AC,MATCH($A66,Productos!$A:$A),1)</f>
        <v>cocina</v>
      </c>
      <c r="N66" s="4"/>
      <c r="O66" s="4"/>
      <c r="P66" s="4"/>
      <c r="Q66" s="4"/>
      <c r="R66" s="4"/>
      <c r="S66" s="4"/>
      <c r="T66" s="4"/>
      <c r="U66" s="4"/>
      <c r="V66" s="4"/>
      <c r="W66" s="4"/>
      <c r="X66" s="4"/>
      <c r="Y66" s="4"/>
      <c r="Z66" s="4"/>
      <c r="AA66" s="4"/>
      <c r="AB66" s="4"/>
    </row>
    <row r="67" customFormat="false" ht="22" hidden="false" customHeight="false" outlineLevel="0" collapsed="false">
      <c r="A67" s="4" t="n">
        <v>20001</v>
      </c>
      <c r="B67" s="4" t="str">
        <f aca="false" t="array" ref="B67:B67">INDEX(Productos!$A:B,MATCH($A67,Productos!$A:$A),COLUMN(B67))</f>
        <v>Nigiri Avocado</v>
      </c>
      <c r="C67" s="5" t="str">
        <f aca="false" t="array" ref="C67:C67">INDEX(Productos!$A:C,MATCH($A67,Productos!$A:$A),COLUMN(C67))</f>
        <v>Nigiri con salmón, palta y queso crema</v>
      </c>
      <c r="D67" s="4" t="n">
        <f aca="false">IFERROR(__xludf.dummyfunction("COUNT(FILTER(Ingredientes!A:A,Ingredientes!A:A=A67))"),5)</f>
        <v>5</v>
      </c>
      <c r="E67" s="8" t="str">
        <f aca="false">IFERROR(__xludf.dummyfunction("TRANSPOSE(IFERROR((FILTER(Ingredientes!D:D,A67=Ingredientes!A:A))))"),"Arroz cocido para nigiri")</f>
        <v>Arroz cocido para nigiri</v>
      </c>
      <c r="F67" s="8" t="str">
        <f aca="false">IFERROR(__xludf.dummyfunction("""COMPUTED_VALUE"""),"Salmón cortado para nigiri")</f>
        <v>Salmón cortado para nigiri</v>
      </c>
      <c r="G67" s="8" t="str">
        <f aca="false">IFERROR(__xludf.dummyfunction("""COMPUTED_VALUE"""),"Palta cortada para nigiri")</f>
        <v>Palta cortada para nigiri</v>
      </c>
      <c r="H67" s="8" t="str">
        <f aca="false">IFERROR(__xludf.dummyfunction("""COMPUTED_VALUE"""),"Queso crema para roll")</f>
        <v>Queso crema para roll</v>
      </c>
      <c r="I67" s="8" t="str">
        <f aca="false">IFERROR(__xludf.dummyfunction("""COMPUTED_VALUE"""),"Nori entero cortado para nigiri")</f>
        <v>Nori entero cortado para nigiri</v>
      </c>
      <c r="J67" s="8"/>
      <c r="K67" s="4" t="n">
        <f aca="false">IFERROR(__xludf.dummyfunction("sum(iferror(filter(Ingredientes!J:J,Ingredientes!A:A=A67)))"),5)</f>
        <v>5</v>
      </c>
      <c r="L67" s="4" t="n">
        <f aca="false">IFERROR(__xludf.dummyfunction("sum(filter(Productos!K:K,Productos!A:A=A67))"),1)</f>
        <v>1</v>
      </c>
      <c r="M67" s="4" t="str">
        <f aca="false" t="array" ref="M67:M67">INDEX(Productos!$AC:AC,MATCH($A67,Productos!$A:$A),1)</f>
        <v>cocina</v>
      </c>
      <c r="N67" s="4"/>
      <c r="O67" s="4"/>
      <c r="P67" s="4"/>
      <c r="Q67" s="4"/>
      <c r="R67" s="4"/>
      <c r="S67" s="4"/>
      <c r="T67" s="4"/>
      <c r="U67" s="4"/>
      <c r="V67" s="4"/>
      <c r="W67" s="4"/>
      <c r="X67" s="4"/>
      <c r="Y67" s="4"/>
      <c r="Z67" s="4"/>
      <c r="AA67" s="4"/>
      <c r="AB67" s="4"/>
    </row>
    <row r="68" customFormat="false" ht="22" hidden="false" customHeight="false" outlineLevel="0" collapsed="false">
      <c r="A68" s="4" t="n">
        <v>20002</v>
      </c>
      <c r="B68" s="4" t="str">
        <f aca="false" t="array" ref="B68:B68">INDEX(Productos!$A:B,MATCH($A68,Productos!$A:$A),COLUMN(B68))</f>
        <v>Nigiri Ebi</v>
      </c>
      <c r="C68" s="5" t="str">
        <f aca="false" t="array" ref="C68:C68">INDEX(Productos!$A:C,MATCH($A68,Productos!$A:$A),COLUMN(C68))</f>
        <v>Nigiri con camarón</v>
      </c>
      <c r="D68" s="4" t="n">
        <f aca="false">IFERROR(__xludf.dummyfunction("COUNT(FILTER(Ingredientes!A:A,Ingredientes!A:A=A68))"),3)</f>
        <v>3</v>
      </c>
      <c r="E68" s="8" t="str">
        <f aca="false">IFERROR(__xludf.dummyfunction("TRANSPOSE(IFERROR((FILTER(Ingredientes!D:D,A68=Ingredientes!A:A))))"),"Arroz cocido para nigiri")</f>
        <v>Arroz cocido para nigiri</v>
      </c>
      <c r="F68" s="8" t="str">
        <f aca="false">IFERROR(__xludf.dummyfunction("""COMPUTED_VALUE"""),"Nori entero cortado para nigiri")</f>
        <v>Nori entero cortado para nigiri</v>
      </c>
      <c r="G68" s="8" t="str">
        <f aca="false">IFERROR(__xludf.dummyfunction("""COMPUTED_VALUE"""),"Camarón cocido")</f>
        <v>Camarón cocido</v>
      </c>
      <c r="H68" s="8"/>
      <c r="I68" s="8"/>
      <c r="J68" s="8"/>
      <c r="K68" s="4" t="n">
        <f aca="false">IFERROR(__xludf.dummyfunction("sum(iferror(filter(Ingredientes!J:J,Ingredientes!A:A=A68)))"),6)</f>
        <v>6</v>
      </c>
      <c r="L68" s="4" t="n">
        <f aca="false">IFERROR(__xludf.dummyfunction("sum(filter(Productos!K:K,Productos!A:A=A68))"),1)</f>
        <v>1</v>
      </c>
      <c r="M68" s="4" t="str">
        <f aca="false" t="array" ref="M68:M68">INDEX(Productos!$AC:AC,MATCH($A68,Productos!$A:$A),1)</f>
        <v>cocina</v>
      </c>
      <c r="N68" s="4"/>
      <c r="O68" s="4"/>
      <c r="P68" s="4"/>
      <c r="Q68" s="4"/>
      <c r="R68" s="4"/>
      <c r="S68" s="4"/>
      <c r="T68" s="4"/>
      <c r="U68" s="4"/>
      <c r="V68" s="4"/>
      <c r="W68" s="4"/>
      <c r="X68" s="4"/>
      <c r="Y68" s="4"/>
      <c r="Z68" s="4"/>
      <c r="AA68" s="4"/>
      <c r="AB68" s="4"/>
    </row>
    <row r="69" customFormat="false" ht="22" hidden="false" customHeight="false" outlineLevel="0" collapsed="false">
      <c r="A69" s="4" t="n">
        <v>20003</v>
      </c>
      <c r="B69" s="4" t="str">
        <f aca="false" t="array" ref="B69:B69">INDEX(Productos!$A:B,MATCH($A69,Productos!$A:$A),COLUMN(B69))</f>
        <v>Nigiri Sake</v>
      </c>
      <c r="C69" s="5" t="str">
        <f aca="false" t="array" ref="C69:C69">INDEX(Productos!$A:C,MATCH($A69,Productos!$A:$A),COLUMN(C69))</f>
        <v>Nigiri con salmón</v>
      </c>
      <c r="D69" s="4" t="n">
        <f aca="false">IFERROR(__xludf.dummyfunction("COUNT(FILTER(Ingredientes!A:A,Ingredientes!A:A=A69))"),3)</f>
        <v>3</v>
      </c>
      <c r="E69" s="8" t="str">
        <f aca="false">IFERROR(__xludf.dummyfunction("TRANSPOSE(IFERROR((FILTER(Ingredientes!D:D,A69=Ingredientes!A:A))))"),"Arroz cocido para nigiri")</f>
        <v>Arroz cocido para nigiri</v>
      </c>
      <c r="F69" s="8" t="str">
        <f aca="false">IFERROR(__xludf.dummyfunction("""COMPUTED_VALUE"""),"Nori entero cortado para nigiri")</f>
        <v>Nori entero cortado para nigiri</v>
      </c>
      <c r="G69" s="8" t="str">
        <f aca="false">IFERROR(__xludf.dummyfunction("""COMPUTED_VALUE"""),"Salmón cortado para nigiri")</f>
        <v>Salmón cortado para nigiri</v>
      </c>
      <c r="H69" s="8"/>
      <c r="I69" s="8"/>
      <c r="J69" s="8"/>
      <c r="K69" s="4" t="n">
        <f aca="false">IFERROR(__xludf.dummyfunction("sum(iferror(filter(Ingredientes!J:J,Ingredientes!A:A=A69)))"),3)</f>
        <v>3</v>
      </c>
      <c r="L69" s="4" t="n">
        <f aca="false">IFERROR(__xludf.dummyfunction("sum(filter(Productos!K:K,Productos!A:A=A69))"),1)</f>
        <v>1</v>
      </c>
      <c r="M69" s="4" t="str">
        <f aca="false" t="array" ref="M69:M69">INDEX(Productos!$AC:AC,MATCH($A69,Productos!$A:$A),1)</f>
        <v>cocina</v>
      </c>
      <c r="N69" s="4"/>
      <c r="O69" s="4"/>
      <c r="P69" s="4"/>
      <c r="Q69" s="4"/>
      <c r="R69" s="4"/>
      <c r="S69" s="4"/>
      <c r="T69" s="4"/>
      <c r="U69" s="4"/>
      <c r="V69" s="4"/>
      <c r="W69" s="4"/>
      <c r="X69" s="4"/>
      <c r="Y69" s="4"/>
      <c r="Z69" s="4"/>
      <c r="AA69" s="4"/>
      <c r="AB69" s="4"/>
    </row>
    <row r="70" customFormat="false" ht="22" hidden="false" customHeight="false" outlineLevel="0" collapsed="false">
      <c r="A70" s="4" t="n">
        <v>20004</v>
      </c>
      <c r="B70" s="4" t="str">
        <f aca="false" t="array" ref="B70:B70">INDEX(Productos!$A:B,MATCH($A70,Productos!$A:$A),COLUMN(B70))</f>
        <v>Nigiri Maguro</v>
      </c>
      <c r="C70" s="5" t="str">
        <f aca="false" t="array" ref="C70:C70">INDEX(Productos!$A:C,MATCH($A70,Productos!$A:$A),COLUMN(C70))</f>
        <v>Nigiri con atún</v>
      </c>
      <c r="D70" s="4" t="n">
        <f aca="false">IFERROR(__xludf.dummyfunction("COUNT(FILTER(Ingredientes!A:A,Ingredientes!A:A=A70))"),3)</f>
        <v>3</v>
      </c>
      <c r="E70" s="8" t="str">
        <f aca="false">IFERROR(__xludf.dummyfunction("TRANSPOSE(IFERROR((FILTER(Ingredientes!D:D,A70=Ingredientes!A:A))))"),"Arroz cocido para nigiri")</f>
        <v>Arroz cocido para nigiri</v>
      </c>
      <c r="F70" s="8" t="str">
        <f aca="false">IFERROR(__xludf.dummyfunction("""COMPUTED_VALUE"""),"Nori entero cortado para nigiri")</f>
        <v>Nori entero cortado para nigiri</v>
      </c>
      <c r="G70" s="8" t="str">
        <f aca="false">IFERROR(__xludf.dummyfunction("""COMPUTED_VALUE"""),"Atún cortado para nigiri")</f>
        <v>Atún cortado para nigiri</v>
      </c>
      <c r="H70" s="8"/>
      <c r="I70" s="8"/>
      <c r="J70" s="8"/>
      <c r="K70" s="4" t="n">
        <f aca="false">IFERROR(__xludf.dummyfunction("sum(iferror(filter(Ingredientes!J:J,Ingredientes!A:A=A70)))"),3)</f>
        <v>3</v>
      </c>
      <c r="L70" s="4" t="n">
        <f aca="false">IFERROR(__xludf.dummyfunction("sum(filter(Productos!K:K,Productos!A:A=A70))"),1)</f>
        <v>1</v>
      </c>
      <c r="M70" s="4" t="str">
        <f aca="false" t="array" ref="M70:M70">INDEX(Productos!$AC:AC,MATCH($A70,Productos!$A:$A),1)</f>
        <v>cocina</v>
      </c>
      <c r="N70" s="4"/>
      <c r="O70" s="4"/>
      <c r="P70" s="4"/>
      <c r="Q70" s="4"/>
      <c r="R70" s="4"/>
      <c r="S70" s="4"/>
      <c r="T70" s="4"/>
      <c r="U70" s="4"/>
      <c r="V70" s="4"/>
      <c r="W70" s="4"/>
      <c r="X70" s="4"/>
      <c r="Y70" s="4"/>
      <c r="Z70" s="4"/>
      <c r="AA70" s="4"/>
      <c r="AB70" s="4"/>
    </row>
    <row r="71" customFormat="false" ht="22" hidden="false" customHeight="false" outlineLevel="0" collapsed="false">
      <c r="A71" s="4" t="n">
        <v>20005</v>
      </c>
      <c r="B71" s="4" t="str">
        <f aca="false" t="array" ref="B71:B71">INDEX(Productos!$A:B,MATCH($A71,Productos!$A:$A),COLUMN(B71))</f>
        <v>Nigiri Maguro Especial</v>
      </c>
      <c r="C71" s="5" t="str">
        <f aca="false" t="array" ref="C71:C71">INDEX(Productos!$A:C,MATCH($A71,Productos!$A:$A),COLUMN(C71))</f>
        <v>Nigiri con atún, palta y queso crema</v>
      </c>
      <c r="D71" s="4" t="n">
        <f aca="false">IFERROR(__xludf.dummyfunction("COUNT(FILTER(Ingredientes!A:A,Ingredientes!A:A=A71))"),5)</f>
        <v>5</v>
      </c>
      <c r="E71" s="8" t="str">
        <f aca="false">IFERROR(__xludf.dummyfunction("TRANSPOSE(IFERROR((FILTER(Ingredientes!D:D,A71=Ingredientes!A:A))))"),"Arroz cocido para nigiri")</f>
        <v>Arroz cocido para nigiri</v>
      </c>
      <c r="F71" s="8" t="str">
        <f aca="false">IFERROR(__xludf.dummyfunction("""COMPUTED_VALUE"""),"Nori entero cortado para nigiri")</f>
        <v>Nori entero cortado para nigiri</v>
      </c>
      <c r="G71" s="8" t="str">
        <f aca="false">IFERROR(__xludf.dummyfunction("""COMPUTED_VALUE"""),"Atún cortado para nigiri")</f>
        <v>Atún cortado para nigiri</v>
      </c>
      <c r="H71" s="8" t="str">
        <f aca="false">IFERROR(__xludf.dummyfunction("""COMPUTED_VALUE"""),"Palta cortada para nigiri")</f>
        <v>Palta cortada para nigiri</v>
      </c>
      <c r="I71" s="8" t="str">
        <f aca="false">IFERROR(__xludf.dummyfunction("""COMPUTED_VALUE"""),"Queso crema para roll")</f>
        <v>Queso crema para roll</v>
      </c>
      <c r="J71" s="8"/>
      <c r="K71" s="4" t="n">
        <f aca="false">IFERROR(__xludf.dummyfunction("sum(iferror(filter(Ingredientes!J:J,Ingredientes!A:A=A71)))"),5)</f>
        <v>5</v>
      </c>
      <c r="L71" s="4" t="n">
        <f aca="false">IFERROR(__xludf.dummyfunction("sum(filter(Productos!K:K,Productos!A:A=A71))"),1)</f>
        <v>1</v>
      </c>
      <c r="M71" s="4" t="str">
        <f aca="false" t="array" ref="M71:M71">INDEX(Productos!$AC:AC,MATCH($A71,Productos!$A:$A),1)</f>
        <v>cocina</v>
      </c>
      <c r="N71" s="4"/>
      <c r="O71" s="4"/>
      <c r="P71" s="4"/>
      <c r="Q71" s="4"/>
      <c r="R71" s="4"/>
      <c r="S71" s="4"/>
      <c r="T71" s="4"/>
      <c r="U71" s="4"/>
      <c r="V71" s="4"/>
      <c r="W71" s="4"/>
      <c r="X71" s="4"/>
      <c r="Y71" s="4"/>
      <c r="Z71" s="4"/>
      <c r="AA71" s="4"/>
      <c r="AB71" s="4"/>
    </row>
    <row r="72" customFormat="false" ht="22" hidden="false" customHeight="false" outlineLevel="0" collapsed="false">
      <c r="A72" s="4" t="n">
        <v>30001</v>
      </c>
      <c r="B72" s="4" t="str">
        <f aca="false" t="array" ref="B72:B72">INDEX(Productos!$A:B,MATCH($A72,Productos!$A:$A),COLUMN(B72))</f>
        <v>Sashimi Salmón 9 cortes</v>
      </c>
      <c r="C72" s="5" t="str">
        <f aca="false" t="array" ref="C72:C72">INDEX(Productos!$A:C,MATCH($A72,Productos!$A:$A),COLUMN(C72))</f>
        <v>Sashimi de salmón, 9 cortes</v>
      </c>
      <c r="D72" s="4" t="n">
        <f aca="false">IFERROR(__xludf.dummyfunction("COUNT(FILTER(Ingredientes!A:A,Ingredientes!A:A=A72))"),1)</f>
        <v>1</v>
      </c>
      <c r="E72" s="8" t="str">
        <f aca="false">IFERROR(__xludf.dummyfunction("TRANSPOSE(IFERROR((FILTER(Ingredientes!D:D,A72=Ingredientes!A:A))))"),"Salmón cortado para sashimi")</f>
        <v>Salmón cortado para sashimi</v>
      </c>
      <c r="F72" s="8"/>
      <c r="G72" s="8"/>
      <c r="H72" s="8"/>
      <c r="I72" s="8"/>
      <c r="J72" s="8"/>
      <c r="K72" s="4" t="n">
        <f aca="false">IFERROR(__xludf.dummyfunction("sum(iferror(filter(Ingredientes!J:J,Ingredientes!A:A=A72)))"),3)</f>
        <v>3</v>
      </c>
      <c r="L72" s="4" t="n">
        <f aca="false">IFERROR(__xludf.dummyfunction("sum(filter(Productos!K:K,Productos!A:A=A72))"),1)</f>
        <v>1</v>
      </c>
      <c r="M72" s="4" t="str">
        <f aca="false" t="array" ref="M72:M72">INDEX(Productos!$AC:AC,MATCH($A72,Productos!$A:$A),1)</f>
        <v>cocina</v>
      </c>
      <c r="N72" s="4"/>
      <c r="O72" s="4"/>
      <c r="P72" s="4"/>
      <c r="Q72" s="4"/>
      <c r="R72" s="4"/>
      <c r="S72" s="4"/>
      <c r="T72" s="4"/>
      <c r="U72" s="4"/>
      <c r="V72" s="4"/>
      <c r="W72" s="4"/>
      <c r="X72" s="4"/>
      <c r="Y72" s="4"/>
      <c r="Z72" s="4"/>
      <c r="AA72" s="4"/>
      <c r="AB72" s="4"/>
    </row>
    <row r="73" customFormat="false" ht="22" hidden="false" customHeight="false" outlineLevel="0" collapsed="false">
      <c r="A73" s="4" t="n">
        <v>30002</v>
      </c>
      <c r="B73" s="4" t="str">
        <f aca="false" t="array" ref="B73:B73">INDEX(Productos!$A:B,MATCH($A73,Productos!$A:$A),COLUMN(B73))</f>
        <v>Sashimi Salmón 12 cortes</v>
      </c>
      <c r="C73" s="5" t="str">
        <f aca="false" t="array" ref="C73:C73">INDEX(Productos!$A:C,MATCH($A73,Productos!$A:$A),COLUMN(C73))</f>
        <v>Sashimi de salmón, 12 cortes</v>
      </c>
      <c r="D73" s="4" t="n">
        <f aca="false">IFERROR(__xludf.dummyfunction("COUNT(FILTER(Ingredientes!A:A,Ingredientes!A:A=A73))"),1)</f>
        <v>1</v>
      </c>
      <c r="E73" s="8" t="str">
        <f aca="false">IFERROR(__xludf.dummyfunction("TRANSPOSE(IFERROR((FILTER(Ingredientes!D:D,A73=Ingredientes!A:A))))"),"Salmón cortado para sashimi")</f>
        <v>Salmón cortado para sashimi</v>
      </c>
      <c r="F73" s="8"/>
      <c r="G73" s="8"/>
      <c r="H73" s="8"/>
      <c r="I73" s="8"/>
      <c r="J73" s="8"/>
      <c r="K73" s="4" t="n">
        <f aca="false">IFERROR(__xludf.dummyfunction("sum(iferror(filter(Ingredientes!J:J,Ingredientes!A:A=A73)))"),4)</f>
        <v>4</v>
      </c>
      <c r="L73" s="4" t="n">
        <f aca="false">IFERROR(__xludf.dummyfunction("sum(filter(Productos!K:K,Productos!A:A=A73))"),1)</f>
        <v>1</v>
      </c>
      <c r="M73" s="4" t="str">
        <f aca="false" t="array" ref="M73:M73">INDEX(Productos!$AC:AC,MATCH($A73,Productos!$A:$A),1)</f>
        <v>cocina</v>
      </c>
      <c r="N73" s="4"/>
      <c r="O73" s="4"/>
      <c r="P73" s="4"/>
      <c r="Q73" s="4"/>
      <c r="R73" s="4"/>
      <c r="S73" s="4"/>
      <c r="T73" s="4"/>
      <c r="U73" s="4"/>
      <c r="V73" s="4"/>
      <c r="W73" s="4"/>
      <c r="X73" s="4"/>
      <c r="Y73" s="4"/>
      <c r="Z73" s="4"/>
      <c r="AA73" s="4"/>
      <c r="AB73" s="4"/>
    </row>
    <row r="74" customFormat="false" ht="22" hidden="false" customHeight="false" outlineLevel="0" collapsed="false">
      <c r="A74" s="4" t="n">
        <v>30003</v>
      </c>
      <c r="B74" s="4" t="str">
        <f aca="false" t="array" ref="B74:B74">INDEX(Productos!$A:B,MATCH($A74,Productos!$A:$A),COLUMN(B74))</f>
        <v>Sashimi Salmón 15 cortes</v>
      </c>
      <c r="C74" s="5" t="str">
        <f aca="false" t="array" ref="C74:C74">INDEX(Productos!$A:C,MATCH($A74,Productos!$A:$A),COLUMN(C74))</f>
        <v>Sashimi de salmón, 15 cortes</v>
      </c>
      <c r="D74" s="4" t="n">
        <f aca="false">IFERROR(__xludf.dummyfunction("COUNT(FILTER(Ingredientes!A:A,Ingredientes!A:A=A74))"),1)</f>
        <v>1</v>
      </c>
      <c r="E74" s="8" t="str">
        <f aca="false">IFERROR(__xludf.dummyfunction("TRANSPOSE(IFERROR((FILTER(Ingredientes!D:D,A74=Ingredientes!A:A))))"),"Salmón cortado para sashimi")</f>
        <v>Salmón cortado para sashimi</v>
      </c>
      <c r="F74" s="8"/>
      <c r="G74" s="8"/>
      <c r="H74" s="8"/>
      <c r="I74" s="8"/>
      <c r="J74" s="8"/>
      <c r="K74" s="4" t="n">
        <f aca="false">IFERROR(__xludf.dummyfunction("sum(iferror(filter(Ingredientes!J:J,Ingredientes!A:A=A74)))"),5)</f>
        <v>5</v>
      </c>
      <c r="L74" s="4" t="n">
        <f aca="false">IFERROR(__xludf.dummyfunction("sum(filter(Productos!K:K,Productos!A:A=A74))"),1)</f>
        <v>1</v>
      </c>
      <c r="M74" s="4" t="str">
        <f aca="false" t="array" ref="M74:M74">INDEX(Productos!$AC:AC,MATCH($A74,Productos!$A:$A),1)</f>
        <v>cocina</v>
      </c>
      <c r="N74" s="4"/>
      <c r="O74" s="4"/>
      <c r="P74" s="4"/>
      <c r="Q74" s="4"/>
      <c r="R74" s="4"/>
      <c r="S74" s="4"/>
      <c r="T74" s="4"/>
      <c r="U74" s="4"/>
      <c r="V74" s="4"/>
      <c r="W74" s="4"/>
      <c r="X74" s="4"/>
      <c r="Y74" s="4"/>
      <c r="Z74" s="4"/>
      <c r="AA74" s="4"/>
      <c r="AB74" s="4"/>
    </row>
    <row r="75" customFormat="false" ht="13" hidden="false" customHeight="false" outlineLevel="0" collapsed="false">
      <c r="A75" s="4" t="n">
        <v>30004</v>
      </c>
      <c r="B75" s="4" t="str">
        <f aca="false" t="array" ref="B75:B75">INDEX(Productos!$A:B,MATCH($A75,Productos!$A:$A),COLUMN(B75))</f>
        <v>Sashimi Atún 9 cortes</v>
      </c>
      <c r="C75" s="5" t="str">
        <f aca="false" t="array" ref="C75:C75">INDEX(Productos!$A:C,MATCH($A75,Productos!$A:$A),COLUMN(C75))</f>
        <v>Sashimi de atún, 9 cortes</v>
      </c>
      <c r="D75" s="4" t="n">
        <f aca="false">IFERROR(__xludf.dummyfunction("COUNT(FILTER(Ingredientes!A:A,Ingredientes!A:A=A75))"),1)</f>
        <v>1</v>
      </c>
      <c r="E75" s="8" t="str">
        <f aca="false">IFERROR(__xludf.dummyfunction("TRANSPOSE(IFERROR((FILTER(Ingredientes!D:D,A75=Ingredientes!A:A))))"),"Atún cortado para sashimi")</f>
        <v>Atún cortado para sashimi</v>
      </c>
      <c r="F75" s="8"/>
      <c r="G75" s="8"/>
      <c r="H75" s="8"/>
      <c r="I75" s="8"/>
      <c r="J75" s="8"/>
      <c r="K75" s="4" t="n">
        <f aca="false">IFERROR(__xludf.dummyfunction("sum(iferror(filter(Ingredientes!J:J,Ingredientes!A:A=A75)))"),3)</f>
        <v>3</v>
      </c>
      <c r="L75" s="4" t="n">
        <f aca="false">IFERROR(__xludf.dummyfunction("sum(filter(Productos!K:K,Productos!A:A=A75))"),1)</f>
        <v>1</v>
      </c>
      <c r="M75" s="4" t="str">
        <f aca="false" t="array" ref="M75:M75">INDEX(Productos!$AC:AC,MATCH($A75,Productos!$A:$A),1)</f>
        <v>cocina</v>
      </c>
      <c r="N75" s="4"/>
      <c r="O75" s="4"/>
      <c r="P75" s="4"/>
      <c r="Q75" s="4"/>
      <c r="R75" s="4"/>
      <c r="S75" s="4"/>
      <c r="T75" s="4"/>
      <c r="U75" s="4"/>
      <c r="V75" s="4"/>
      <c r="W75" s="4"/>
      <c r="X75" s="4"/>
      <c r="Y75" s="4"/>
      <c r="Z75" s="4"/>
      <c r="AA75" s="4"/>
      <c r="AB75" s="4"/>
    </row>
    <row r="76" customFormat="false" ht="13" hidden="false" customHeight="false" outlineLevel="0" collapsed="false">
      <c r="A76" s="4" t="n">
        <v>30005</v>
      </c>
      <c r="B76" s="4" t="str">
        <f aca="false" t="array" ref="B76:B76">INDEX(Productos!$A:B,MATCH($A76,Productos!$A:$A),COLUMN(B76))</f>
        <v>Sashimi Atún 12 cortes</v>
      </c>
      <c r="C76" s="5" t="str">
        <f aca="false" t="array" ref="C76:C76">INDEX(Productos!$A:C,MATCH($A76,Productos!$A:$A),COLUMN(C76))</f>
        <v>Sashimi de atún, 12 cortes</v>
      </c>
      <c r="D76" s="4" t="n">
        <f aca="false">IFERROR(__xludf.dummyfunction("COUNT(FILTER(Ingredientes!A:A,Ingredientes!A:A=A76))"),1)</f>
        <v>1</v>
      </c>
      <c r="E76" s="8" t="str">
        <f aca="false">IFERROR(__xludf.dummyfunction("TRANSPOSE(IFERROR((FILTER(Ingredientes!D:D,A76=Ingredientes!A:A))))"),"Atún cortado para sashimi")</f>
        <v>Atún cortado para sashimi</v>
      </c>
      <c r="F76" s="8"/>
      <c r="G76" s="8"/>
      <c r="H76" s="8"/>
      <c r="I76" s="8"/>
      <c r="J76" s="8"/>
      <c r="K76" s="4" t="n">
        <f aca="false">IFERROR(__xludf.dummyfunction("sum(iferror(filter(Ingredientes!J:J,Ingredientes!A:A=A76)))"),4)</f>
        <v>4</v>
      </c>
      <c r="L76" s="4" t="n">
        <f aca="false">IFERROR(__xludf.dummyfunction("sum(filter(Productos!K:K,Productos!A:A=A76))"),1)</f>
        <v>1</v>
      </c>
      <c r="M76" s="4" t="str">
        <f aca="false" t="array" ref="M76:M76">INDEX(Productos!$AC:AC,MATCH($A76,Productos!$A:$A),1)</f>
        <v>cocina</v>
      </c>
      <c r="N76" s="4"/>
      <c r="O76" s="4"/>
      <c r="P76" s="4"/>
      <c r="Q76" s="4"/>
      <c r="R76" s="4"/>
      <c r="S76" s="4"/>
      <c r="T76" s="4"/>
      <c r="U76" s="4"/>
      <c r="V76" s="4"/>
      <c r="W76" s="4"/>
      <c r="X76" s="4"/>
      <c r="Y76" s="4"/>
      <c r="Z76" s="4"/>
      <c r="AA76" s="4"/>
      <c r="AB76" s="4"/>
    </row>
    <row r="77" customFormat="false" ht="13" hidden="false" customHeight="false" outlineLevel="0" collapsed="false">
      <c r="A77" s="4" t="n">
        <v>30006</v>
      </c>
      <c r="B77" s="4" t="str">
        <f aca="false" t="array" ref="B77:B77">INDEX(Productos!$A:B,MATCH($A77,Productos!$A:$A),COLUMN(B77))</f>
        <v>Sashimi Atún 15 cortes</v>
      </c>
      <c r="C77" s="5" t="str">
        <f aca="false" t="array" ref="C77:C77">INDEX(Productos!$A:C,MATCH($A77,Productos!$A:$A),COLUMN(C77))</f>
        <v>Sashimi de atún, 15 cortes</v>
      </c>
      <c r="D77" s="4" t="n">
        <f aca="false">IFERROR(__xludf.dummyfunction("COUNT(FILTER(Ingredientes!A:A,Ingredientes!A:A=A77))"),1)</f>
        <v>1</v>
      </c>
      <c r="E77" s="8" t="str">
        <f aca="false">IFERROR(__xludf.dummyfunction("TRANSPOSE(IFERROR((FILTER(Ingredientes!D:D,A77=Ingredientes!A:A))))"),"Atún cortado para sashimi")</f>
        <v>Atún cortado para sashimi</v>
      </c>
      <c r="F77" s="8"/>
      <c r="G77" s="8"/>
      <c r="H77" s="8"/>
      <c r="I77" s="8"/>
      <c r="J77" s="8"/>
      <c r="K77" s="4" t="n">
        <f aca="false">IFERROR(__xludf.dummyfunction("sum(iferror(filter(Ingredientes!J:J,Ingredientes!A:A=A77)))"),5)</f>
        <v>5</v>
      </c>
      <c r="L77" s="4" t="n">
        <f aca="false">IFERROR(__xludf.dummyfunction("sum(filter(Productos!K:K,Productos!A:A=A77))"),1)</f>
        <v>1</v>
      </c>
      <c r="M77" s="4" t="str">
        <f aca="false" t="array" ref="M77:M77">INDEX(Productos!$AC:AC,MATCH($A77,Productos!$A:$A),1)</f>
        <v>cocina</v>
      </c>
      <c r="N77" s="4"/>
      <c r="O77" s="4"/>
      <c r="P77" s="4"/>
      <c r="Q77" s="4"/>
      <c r="R77" s="4"/>
      <c r="S77" s="4"/>
      <c r="T77" s="4"/>
      <c r="U77" s="4"/>
      <c r="V77" s="4"/>
      <c r="W77" s="4"/>
      <c r="X77" s="4"/>
      <c r="Y77" s="4"/>
      <c r="Z77" s="4"/>
      <c r="AA77" s="4"/>
      <c r="AB77" s="4"/>
    </row>
    <row r="78" customFormat="false" ht="22" hidden="false" customHeight="false" outlineLevel="0" collapsed="false">
      <c r="A78" s="4" t="n">
        <v>30007</v>
      </c>
      <c r="B78" s="4" t="str">
        <f aca="false" t="array" ref="B78:B78">INDEX(Productos!$A:B,MATCH($A78,Productos!$A:$A),COLUMN(B78))</f>
        <v>Sashimi Mix 12 cortes</v>
      </c>
      <c r="C78" s="5" t="str">
        <f aca="false" t="array" ref="C78:C78">INDEX(Productos!$A:C,MATCH($A78,Productos!$A:$A),COLUMN(C78))</f>
        <v>Mix de 6 cortes de sashimi de atún y 6 cortes de sashimi de salmón</v>
      </c>
      <c r="D78" s="4" t="n">
        <f aca="false">IFERROR(__xludf.dummyfunction("COUNT(FILTER(Ingredientes!A:A,Ingredientes!A:A=A78))"),2)</f>
        <v>2</v>
      </c>
      <c r="E78" s="8" t="str">
        <f aca="false">IFERROR(__xludf.dummyfunction("TRANSPOSE(IFERROR((FILTER(Ingredientes!D:D,A78=Ingredientes!A:A))))"),"Atún cortado para sashimi")</f>
        <v>Atún cortado para sashimi</v>
      </c>
      <c r="F78" s="8" t="str">
        <f aca="false">IFERROR(__xludf.dummyfunction("""COMPUTED_VALUE"""),"Salmón cortado para sashimi")</f>
        <v>Salmón cortado para sashimi</v>
      </c>
      <c r="G78" s="8"/>
      <c r="H78" s="8"/>
      <c r="I78" s="8"/>
      <c r="J78" s="8"/>
      <c r="K78" s="4" t="n">
        <f aca="false">IFERROR(__xludf.dummyfunction("sum(iferror(filter(Ingredientes!J:J,Ingredientes!A:A=A78)))"),4)</f>
        <v>4</v>
      </c>
      <c r="L78" s="4" t="n">
        <f aca="false">IFERROR(__xludf.dummyfunction("sum(filter(Productos!K:K,Productos!A:A=A78))"),1)</f>
        <v>1</v>
      </c>
      <c r="M78" s="4" t="str">
        <f aca="false" t="array" ref="M78:M78">INDEX(Productos!$AC:AC,MATCH($A78,Productos!$A:$A),1)</f>
        <v>cocina</v>
      </c>
      <c r="N78" s="4"/>
      <c r="O78" s="4"/>
      <c r="P78" s="4"/>
      <c r="Q78" s="4"/>
      <c r="R78" s="4"/>
      <c r="S78" s="4"/>
      <c r="T78" s="4"/>
      <c r="U78" s="4"/>
      <c r="V78" s="4"/>
      <c r="W78" s="4"/>
      <c r="X78" s="4"/>
      <c r="Y78" s="4"/>
      <c r="Z78" s="4"/>
      <c r="AA78" s="4"/>
      <c r="AB78" s="4"/>
    </row>
    <row r="79" customFormat="false" ht="22" hidden="false" customHeight="false" outlineLevel="0" collapsed="false">
      <c r="A79" s="4" t="n">
        <v>30008</v>
      </c>
      <c r="B79" s="4" t="str">
        <f aca="false" t="array" ref="B79:B79">INDEX(Productos!$A:B,MATCH($A79,Productos!$A:$A),COLUMN(B79))</f>
        <v>Sashimi Mix 18 cortes</v>
      </c>
      <c r="C79" s="5" t="str">
        <f aca="false" t="array" ref="C79:C79">INDEX(Productos!$A:C,MATCH($A79,Productos!$A:$A),COLUMN(C79))</f>
        <v>Mix de 9 cortes de sashimi de atún y 9 cortes de sashimi de salmón</v>
      </c>
      <c r="D79" s="4" t="n">
        <f aca="false">IFERROR(__xludf.dummyfunction("COUNT(FILTER(Ingredientes!A:A,Ingredientes!A:A=A79))"),2)</f>
        <v>2</v>
      </c>
      <c r="E79" s="8" t="str">
        <f aca="false">IFERROR(__xludf.dummyfunction("TRANSPOSE(IFERROR((FILTER(Ingredientes!D:D,A79=Ingredientes!A:A))))"),"Atún cortado para sashimi")</f>
        <v>Atún cortado para sashimi</v>
      </c>
      <c r="F79" s="8" t="str">
        <f aca="false">IFERROR(__xludf.dummyfunction("""COMPUTED_VALUE"""),"Salmón cortado para sashimi")</f>
        <v>Salmón cortado para sashimi</v>
      </c>
      <c r="G79" s="8"/>
      <c r="H79" s="8"/>
      <c r="I79" s="8"/>
      <c r="J79" s="8"/>
      <c r="K79" s="4" t="n">
        <f aca="false">IFERROR(__xludf.dummyfunction("sum(iferror(filter(Ingredientes!J:J,Ingredientes!A:A=A79)))"),6)</f>
        <v>6</v>
      </c>
      <c r="L79" s="4" t="n">
        <f aca="false">IFERROR(__xludf.dummyfunction("sum(filter(Productos!K:K,Productos!A:A=A79))"),1)</f>
        <v>1</v>
      </c>
      <c r="M79" s="4" t="str">
        <f aca="false" t="array" ref="M79:M79">INDEX(Productos!$AC:AC,MATCH($A79,Productos!$A:$A),1)</f>
        <v>cocina</v>
      </c>
      <c r="N79" s="4"/>
      <c r="O79" s="4"/>
      <c r="P79" s="4"/>
      <c r="Q79" s="4"/>
      <c r="R79" s="4"/>
      <c r="S79" s="4"/>
      <c r="T79" s="4"/>
      <c r="U79" s="4"/>
      <c r="V79" s="4"/>
      <c r="W79" s="4"/>
      <c r="X79" s="4"/>
      <c r="Y79" s="4"/>
      <c r="Z79" s="4"/>
      <c r="AA79" s="4"/>
      <c r="AB79" s="4"/>
    </row>
    <row r="80" customFormat="false" ht="13" hidden="false" customHeight="false" outlineLevel="0" collapsed="false"/>
    <row r="81" customFormat="false" ht="13" hidden="false" customHeight="false" outlineLevel="0" collapsed="false"/>
    <row r="82" customFormat="false" ht="13" hidden="false" customHeight="false" outlineLevel="0" collapsed="false"/>
    <row r="83" customFormat="false" ht="13" hidden="false" customHeight="false" outlineLevel="0" collapsed="false"/>
    <row r="84" customFormat="false" ht="13" hidden="false" customHeight="false" outlineLevel="0" collapsed="false"/>
    <row r="85" customFormat="false" ht="13" hidden="false" customHeight="false" outlineLevel="0" collapsed="false"/>
    <row r="86" customFormat="false" ht="13" hidden="false" customHeight="false" outlineLevel="0" collapsed="false"/>
    <row r="87" customFormat="false" ht="13" hidden="false" customHeight="false" outlineLevel="0" collapsed="false"/>
    <row r="88" customFormat="false" ht="13" hidden="false" customHeight="false" outlineLevel="0" collapsed="false"/>
    <row r="89" customFormat="false" ht="13" hidden="false" customHeight="false" outlineLevel="0" collapsed="false"/>
    <row r="90" customFormat="false" ht="13" hidden="false" customHeight="false" outlineLevel="0" collapsed="false"/>
    <row r="91" customFormat="false" ht="13" hidden="false" customHeight="false" outlineLevel="0" collapsed="false"/>
    <row r="92" customFormat="false" ht="13" hidden="false" customHeight="false" outlineLevel="0" collapsed="false"/>
    <row r="93" customFormat="false" ht="13" hidden="false" customHeight="false" outlineLevel="0" collapsed="false"/>
    <row r="94" customFormat="false" ht="13" hidden="false" customHeight="false" outlineLevel="0" collapsed="false"/>
    <row r="95" customFormat="false" ht="13" hidden="false" customHeight="false" outlineLevel="0" collapsed="false"/>
    <row r="96" customFormat="false" ht="13" hidden="false" customHeight="false" outlineLevel="0" collapsed="false"/>
    <row r="97" customFormat="false" ht="13" hidden="false" customHeight="false" outlineLevel="0" collapsed="false"/>
    <row r="98" customFormat="false" ht="13" hidden="false" customHeight="false" outlineLevel="0" collapsed="false"/>
    <row r="99" customFormat="false" ht="13" hidden="false" customHeight="false" outlineLevel="0" collapsed="false"/>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row r="1001" customFormat="false" ht="13" hidden="false" customHeight="false" outlineLevel="0" collapsed="false"/>
    <row r="1002" customFormat="false" ht="13" hidden="false" customHeight="false" outlineLevel="0" collapsed="false"/>
    <row r="1003" customFormat="false" ht="13" hidden="false" customHeight="false" outlineLevel="0" collapsed="false"/>
    <row r="1004" customFormat="false" ht="13" hidden="false" customHeight="false" outlineLevel="0" collapsed="false"/>
    <row r="1005" customFormat="false" ht="13" hidden="false" customHeight="false" outlineLevel="0" collapsed="false"/>
    <row r="1006" customFormat="false" ht="13" hidden="false" customHeight="false" outlineLevel="0" collapsed="false"/>
    <row r="1007" customFormat="false" ht="13" hidden="false" customHeight="false" outlineLevel="0" collapsed="false"/>
    <row r="1008" customFormat="false" ht="13" hidden="false" customHeight="false" outlineLevel="0" collapsed="false"/>
    <row r="1009" customFormat="false" ht="13" hidden="false" customHeight="false" outlineLevel="0" collapsed="false"/>
    <row r="1010" customFormat="false" ht="13" hidden="false" customHeight="false" outlineLevel="0" collapsed="false"/>
    <row r="1011" customFormat="false" ht="13" hidden="false" customHeight="false" outlineLevel="0" collapsed="false"/>
    <row r="1012" customFormat="false" ht="13" hidden="false" customHeight="false" outlineLevel="0" collapsed="false"/>
    <row r="1013" customFormat="false" ht="13" hidden="false" customHeight="false" outlineLevel="0" collapsed="false"/>
    <row r="1014" customFormat="false" ht="13" hidden="false" customHeight="false" outlineLevel="0" collapsed="false"/>
    <row r="1015" customFormat="false" ht="13" hidden="false" customHeight="false" outlineLevel="0" collapsed="false"/>
    <row r="1016" customFormat="false" ht="13" hidden="false" customHeight="false" outlineLevel="0" collapsed="false"/>
    <row r="1017" customFormat="false" ht="13" hidden="false" customHeight="false" outlineLevel="0" collapsed="false"/>
    <row r="1018" customFormat="false" ht="13" hidden="false" customHeight="false" outlineLevel="0" collapsed="false"/>
    <row r="1019" customFormat="false" ht="13" hidden="false" customHeight="false" outlineLevel="0" collapsed="false"/>
    <row r="1020" customFormat="false" ht="13" hidden="false" customHeight="false" outlineLevel="0" collapsed="false"/>
    <row r="1021" customFormat="false" ht="13" hidden="false" customHeight="false" outlineLevel="0" collapsed="false"/>
    <row r="1022" customFormat="false" ht="13" hidden="false" customHeight="false" outlineLevel="0" collapsed="false"/>
    <row r="1023" customFormat="false" ht="13" hidden="false" customHeight="false" outlineLevel="0" collapsed="false"/>
    <row r="1024" customFormat="false" ht="13" hidden="false" customHeight="false" outlineLevel="0" collapsed="false"/>
    <row r="1025" customFormat="false" ht="13" hidden="false" customHeight="false" outlineLevel="0" collapsed="false"/>
    <row r="1026" customFormat="false" ht="13" hidden="false" customHeight="false" outlineLevel="0" collapsed="false"/>
    <row r="1027" customFormat="false" ht="13" hidden="false" customHeight="false" outlineLevel="0" collapsed="false"/>
  </sheetData>
  <autoFilter ref="A1:M7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14"/>
  <sheetViews>
    <sheetView showFormulas="false" showGridLines="true" showRowColHeaders="true" showZeros="true" rightToLeft="false" tabSelected="false" showOutlineSymbols="true" defaultGridColor="true" view="normal" topLeftCell="A90" colorId="64" zoomScale="100" zoomScaleNormal="100" zoomScalePageLayoutView="100" workbookViewId="0">
      <selection pane="topLeft" activeCell="B21" activeCellId="0" sqref="B21"/>
    </sheetView>
  </sheetViews>
  <sheetFormatPr defaultRowHeight="15.75" zeroHeight="false" outlineLevelRow="0" outlineLevelCol="0"/>
  <cols>
    <col collapsed="false" customWidth="true" hidden="false" outlineLevel="0" max="1" min="1" style="0" width="9.51"/>
    <col collapsed="false" customWidth="true" hidden="false" outlineLevel="0" max="2" min="2" style="0" width="29.66"/>
    <col collapsed="false" customWidth="false" hidden="false" outlineLevel="0" max="3" min="3" style="0" width="11.5"/>
    <col collapsed="false" customWidth="true" hidden="false" outlineLevel="0" max="1025" min="4" style="0" width="14.5"/>
  </cols>
  <sheetData>
    <row r="1" customFormat="false" ht="15.75" hidden="false" customHeight="true" outlineLevel="0" collapsed="false">
      <c r="A1" s="1" t="s">
        <v>0</v>
      </c>
      <c r="B1" s="1" t="s">
        <v>1</v>
      </c>
      <c r="C1" s="1" t="s">
        <v>189</v>
      </c>
    </row>
    <row r="2" customFormat="false" ht="15.75" hidden="false" customHeight="true" outlineLevel="0" collapsed="false">
      <c r="A2" s="4" t="n">
        <v>1001</v>
      </c>
      <c r="B2" s="4" t="str">
        <f aca="false" t="array" ref="B2:B2">INDEX(Productos!$A:B,MATCH($A2,Productos!$A:$A),COLUMN(B2))</f>
        <v>Arroz grano corto</v>
      </c>
      <c r="C2" s="4" t="n">
        <v>1</v>
      </c>
      <c r="E2" s="16" t="s">
        <v>189</v>
      </c>
      <c r="F2" s="16" t="s">
        <v>190</v>
      </c>
      <c r="G2" s="0" t="n">
        <v>1002</v>
      </c>
      <c r="H2" s="0" t="s">
        <v>19</v>
      </c>
      <c r="I2" s="0" t="n">
        <v>2</v>
      </c>
      <c r="J2" s="0" t="n">
        <f aca="false">RANDBETWEEN(1,14)</f>
        <v>12</v>
      </c>
      <c r="K2" s="16" t="s">
        <v>191</v>
      </c>
    </row>
    <row r="3" customFormat="false" ht="15.75" hidden="false" customHeight="true" outlineLevel="0" collapsed="false">
      <c r="A3" s="4" t="n">
        <v>1001</v>
      </c>
      <c r="B3" s="4" t="str">
        <f aca="false" t="array" ref="B3:B3">INDEX(Productos!$A:B,MATCH($A3,Productos!$A:$A),COLUMN(B3))</f>
        <v>Arroz grano corto</v>
      </c>
      <c r="C3" s="4" t="n">
        <v>2</v>
      </c>
      <c r="E3" s="16" t="n">
        <v>1</v>
      </c>
      <c r="F3" s="0" t="n">
        <f aca="false">COUNTIF(C2:C113,E3)</f>
        <v>8</v>
      </c>
      <c r="G3" s="0" t="n">
        <v>1002</v>
      </c>
      <c r="H3" s="0" t="s">
        <v>19</v>
      </c>
      <c r="I3" s="0" t="n">
        <v>4</v>
      </c>
      <c r="J3" s="0" t="n">
        <f aca="false">RANDBETWEEN(1,14)</f>
        <v>10</v>
      </c>
      <c r="K3" s="16" t="s">
        <v>191</v>
      </c>
    </row>
    <row r="4" customFormat="false" ht="15.75" hidden="false" customHeight="true" outlineLevel="0" collapsed="false">
      <c r="A4" s="4" t="n">
        <v>1001</v>
      </c>
      <c r="B4" s="4" t="str">
        <f aca="false" t="array" ref="B4:B4">INDEX(Productos!$A:B,MATCH($A4,Productos!$A:$A),COLUMN(B4))</f>
        <v>Arroz grano corto</v>
      </c>
      <c r="C4" s="4" t="n">
        <v>3</v>
      </c>
      <c r="E4" s="16" t="n">
        <v>2</v>
      </c>
      <c r="F4" s="0" t="n">
        <f aca="false">COUNTIF(C3:C114,E4)</f>
        <v>8</v>
      </c>
      <c r="G4" s="0" t="n">
        <v>1002</v>
      </c>
      <c r="H4" s="0" t="s">
        <v>19</v>
      </c>
      <c r="I4" s="0" t="n">
        <v>9</v>
      </c>
      <c r="J4" s="0" t="n">
        <f aca="false">RANDBETWEEN(1,14)</f>
        <v>4</v>
      </c>
      <c r="K4" s="16" t="s">
        <v>191</v>
      </c>
    </row>
    <row r="5" customFormat="false" ht="15.75" hidden="false" customHeight="true" outlineLevel="0" collapsed="false">
      <c r="A5" s="4" t="n">
        <v>1001</v>
      </c>
      <c r="B5" s="4" t="str">
        <f aca="false" t="array" ref="B5:B5">INDEX(Productos!$A:B,MATCH($A5,Productos!$A:$A),COLUMN(B5))</f>
        <v>Arroz grano corto</v>
      </c>
      <c r="C5" s="4" t="n">
        <v>4</v>
      </c>
      <c r="E5" s="16" t="n">
        <v>3</v>
      </c>
      <c r="F5" s="0" t="n">
        <f aca="false">COUNTIF(C4:C115,E5)</f>
        <v>8</v>
      </c>
      <c r="G5" s="0" t="n">
        <v>1003</v>
      </c>
      <c r="H5" s="0" t="s">
        <v>21</v>
      </c>
      <c r="I5" s="0" t="n">
        <v>8</v>
      </c>
      <c r="J5" s="17" t="n">
        <f aca="false">RANDBETWEEN(1,14)</f>
        <v>10</v>
      </c>
      <c r="K5" s="16" t="s">
        <v>191</v>
      </c>
    </row>
    <row r="6" customFormat="false" ht="15.75" hidden="false" customHeight="true" outlineLevel="0" collapsed="false">
      <c r="A6" s="4" t="n">
        <v>1001</v>
      </c>
      <c r="B6" s="4" t="str">
        <f aca="false" t="array" ref="B6:B6">INDEX(Productos!$A:B,MATCH($A6,Productos!$A:$A),COLUMN(B6))</f>
        <v>Arroz grano corto</v>
      </c>
      <c r="C6" s="4" t="n">
        <v>5</v>
      </c>
      <c r="E6" s="16" t="n">
        <v>4</v>
      </c>
      <c r="F6" s="0" t="n">
        <f aca="false">COUNTIF(C5:C116,E6)</f>
        <v>8</v>
      </c>
      <c r="G6" s="0" t="n">
        <v>1003</v>
      </c>
      <c r="H6" s="0" t="s">
        <v>21</v>
      </c>
      <c r="I6" s="0" t="n">
        <v>13</v>
      </c>
      <c r="J6" s="17" t="n">
        <f aca="false">RANDBETWEEN(1,14)</f>
        <v>4</v>
      </c>
      <c r="K6" s="16" t="s">
        <v>191</v>
      </c>
    </row>
    <row r="7" customFormat="false" ht="15.75" hidden="false" customHeight="true" outlineLevel="0" collapsed="false">
      <c r="A7" s="4" t="n">
        <v>1001</v>
      </c>
      <c r="B7" s="4" t="str">
        <f aca="false" t="array" ref="B7:B7">INDEX(Productos!$A:B,MATCH($A7,Productos!$A:$A),COLUMN(B7))</f>
        <v>Arroz grano corto</v>
      </c>
      <c r="C7" s="4" t="n">
        <v>6</v>
      </c>
      <c r="E7" s="16" t="n">
        <v>5</v>
      </c>
      <c r="F7" s="0" t="n">
        <f aca="false">COUNTIF(C6:C117,E7)</f>
        <v>8</v>
      </c>
      <c r="G7" s="0" t="n">
        <v>1003</v>
      </c>
      <c r="H7" s="0" t="s">
        <v>21</v>
      </c>
      <c r="I7" s="0" t="n">
        <v>14</v>
      </c>
      <c r="J7" s="17" t="n">
        <f aca="false">RANDBETWEEN(1,14)</f>
        <v>3</v>
      </c>
      <c r="K7" s="16" t="s">
        <v>191</v>
      </c>
    </row>
    <row r="8" customFormat="false" ht="15.75" hidden="false" customHeight="true" outlineLevel="0" collapsed="false">
      <c r="A8" s="4" t="n">
        <v>1001</v>
      </c>
      <c r="B8" s="4" t="str">
        <f aca="false" t="array" ref="B8:B8">INDEX(Productos!$A:B,MATCH($A8,Productos!$A:$A),COLUMN(B8))</f>
        <v>Arroz grano corto</v>
      </c>
      <c r="C8" s="4" t="n">
        <v>7</v>
      </c>
      <c r="E8" s="16" t="n">
        <v>6</v>
      </c>
      <c r="F8" s="0" t="n">
        <f aca="false">COUNTIF(C7:C118,E8)</f>
        <v>8</v>
      </c>
      <c r="G8" s="0" t="n">
        <v>1004</v>
      </c>
      <c r="H8" s="0" t="s">
        <v>23</v>
      </c>
      <c r="I8" s="0" t="n">
        <v>9</v>
      </c>
      <c r="J8" s="17" t="n">
        <f aca="false">RANDBETWEEN(1,14)</f>
        <v>9</v>
      </c>
      <c r="K8" s="16" t="s">
        <v>191</v>
      </c>
    </row>
    <row r="9" customFormat="false" ht="15.75" hidden="false" customHeight="true" outlineLevel="0" collapsed="false">
      <c r="A9" s="4" t="n">
        <v>1001</v>
      </c>
      <c r="B9" s="4" t="str">
        <f aca="false" t="array" ref="B9:B9">INDEX(Productos!$A:B,MATCH($A9,Productos!$A:$A),COLUMN(B9))</f>
        <v>Arroz grano corto</v>
      </c>
      <c r="C9" s="4" t="n">
        <v>8</v>
      </c>
      <c r="E9" s="16" t="n">
        <v>7</v>
      </c>
      <c r="F9" s="0" t="n">
        <f aca="false">COUNTIF(C8:C119,E9)</f>
        <v>8</v>
      </c>
      <c r="G9" s="0" t="n">
        <v>1004</v>
      </c>
      <c r="H9" s="0" t="s">
        <v>23</v>
      </c>
      <c r="I9" s="0" t="n">
        <v>13</v>
      </c>
      <c r="J9" s="17" t="n">
        <f aca="false">RANDBETWEEN(1,14)</f>
        <v>10</v>
      </c>
      <c r="K9" s="16" t="s">
        <v>191</v>
      </c>
    </row>
    <row r="10" customFormat="false" ht="15.75" hidden="false" customHeight="true" outlineLevel="0" collapsed="false">
      <c r="A10" s="4" t="n">
        <v>1001</v>
      </c>
      <c r="B10" s="4" t="str">
        <f aca="false" t="array" ref="B10:B10">INDEX(Productos!$A:B,MATCH($A10,Productos!$A:$A),COLUMN(B10))</f>
        <v>Arroz grano corto</v>
      </c>
      <c r="C10" s="4" t="n">
        <v>9</v>
      </c>
      <c r="E10" s="16" t="n">
        <v>8</v>
      </c>
      <c r="F10" s="0" t="n">
        <f aca="false">COUNTIF(C9:C120,E10)</f>
        <v>8</v>
      </c>
      <c r="G10" s="0" t="n">
        <v>1004</v>
      </c>
      <c r="H10" s="0" t="s">
        <v>23</v>
      </c>
      <c r="I10" s="0" t="n">
        <v>14</v>
      </c>
      <c r="J10" s="17" t="n">
        <f aca="false">RANDBETWEEN(1,14)</f>
        <v>12</v>
      </c>
      <c r="K10" s="16" t="s">
        <v>191</v>
      </c>
    </row>
    <row r="11" customFormat="false" ht="15.75" hidden="false" customHeight="true" outlineLevel="0" collapsed="false">
      <c r="A11" s="4" t="n">
        <v>1001</v>
      </c>
      <c r="B11" s="4" t="str">
        <f aca="false" t="array" ref="B11:B11">INDEX(Productos!$A:B,MATCH($A11,Productos!$A:$A),COLUMN(B11))</f>
        <v>Arroz grano corto</v>
      </c>
      <c r="C11" s="4" t="n">
        <v>10</v>
      </c>
      <c r="E11" s="16" t="n">
        <v>9</v>
      </c>
      <c r="F11" s="0" t="n">
        <f aca="false">COUNTIF(C10:C121,E11)</f>
        <v>8</v>
      </c>
      <c r="G11" s="0" t="n">
        <v>1005</v>
      </c>
      <c r="H11" s="0" t="s">
        <v>25</v>
      </c>
      <c r="I11" s="0" t="n">
        <v>6</v>
      </c>
      <c r="J11" s="17" t="n">
        <f aca="false">RANDBETWEEN(1,14)</f>
        <v>9</v>
      </c>
      <c r="K11" s="16" t="s">
        <v>191</v>
      </c>
    </row>
    <row r="12" customFormat="false" ht="15.75" hidden="false" customHeight="true" outlineLevel="0" collapsed="false">
      <c r="A12" s="4" t="n">
        <v>1001</v>
      </c>
      <c r="B12" s="4" t="str">
        <f aca="false" t="array" ref="B12:B12">INDEX(Productos!$A:B,MATCH($A12,Productos!$A:$A),COLUMN(B12))</f>
        <v>Arroz grano corto</v>
      </c>
      <c r="C12" s="4" t="n">
        <v>11</v>
      </c>
      <c r="E12" s="16" t="n">
        <v>10</v>
      </c>
      <c r="F12" s="0" t="n">
        <f aca="false">COUNTIF(C11:C122,E12)</f>
        <v>8</v>
      </c>
      <c r="G12" s="0" t="n">
        <v>1005</v>
      </c>
      <c r="H12" s="0" t="s">
        <v>25</v>
      </c>
      <c r="I12" s="0" t="n">
        <v>12</v>
      </c>
      <c r="J12" s="17" t="n">
        <f aca="false">RANDBETWEEN(1,14)</f>
        <v>2</v>
      </c>
      <c r="K12" s="16" t="s">
        <v>191</v>
      </c>
    </row>
    <row r="13" customFormat="false" ht="15.75" hidden="false" customHeight="true" outlineLevel="0" collapsed="false">
      <c r="A13" s="4" t="n">
        <v>1001</v>
      </c>
      <c r="B13" s="4" t="str">
        <f aca="false" t="array" ref="B13:B13">INDEX(Productos!$A:B,MATCH($A13,Productos!$A:$A),COLUMN(B13))</f>
        <v>Arroz grano corto</v>
      </c>
      <c r="C13" s="4" t="n">
        <v>12</v>
      </c>
      <c r="E13" s="16" t="n">
        <v>11</v>
      </c>
      <c r="F13" s="0" t="n">
        <f aca="false">COUNTIF(C12:C123,E13)</f>
        <v>8</v>
      </c>
      <c r="G13" s="0" t="n">
        <v>1005</v>
      </c>
      <c r="H13" s="0" t="s">
        <v>25</v>
      </c>
      <c r="I13" s="0" t="n">
        <v>14</v>
      </c>
      <c r="J13" s="17" t="n">
        <f aca="false">RANDBETWEEN(1,14)</f>
        <v>8</v>
      </c>
      <c r="K13" s="16" t="s">
        <v>191</v>
      </c>
    </row>
    <row r="14" customFormat="false" ht="15.75" hidden="false" customHeight="true" outlineLevel="0" collapsed="false">
      <c r="A14" s="4" t="n">
        <v>1001</v>
      </c>
      <c r="B14" s="4" t="str">
        <f aca="false" t="array" ref="B14:B14">INDEX(Productos!$A:B,MATCH($A14,Productos!$A:$A),COLUMN(B14))</f>
        <v>Arroz grano corto</v>
      </c>
      <c r="C14" s="4" t="n">
        <v>13</v>
      </c>
      <c r="E14" s="16" t="n">
        <v>12</v>
      </c>
      <c r="F14" s="0" t="n">
        <f aca="false">COUNTIF(C13:C124,E14)</f>
        <v>8</v>
      </c>
      <c r="G14" s="0" t="n">
        <v>1006</v>
      </c>
      <c r="H14" s="0" t="s">
        <v>26</v>
      </c>
      <c r="I14" s="0" t="n">
        <v>3</v>
      </c>
      <c r="J14" s="17" t="n">
        <f aca="false">RANDBETWEEN(1,14)</f>
        <v>11</v>
      </c>
      <c r="K14" s="16" t="s">
        <v>191</v>
      </c>
    </row>
    <row r="15" customFormat="false" ht="15.75" hidden="false" customHeight="true" outlineLevel="0" collapsed="false">
      <c r="A15" s="4" t="n">
        <v>1001</v>
      </c>
      <c r="B15" s="4" t="str">
        <f aca="false" t="array" ref="B15:B15">INDEX(Productos!$A:B,MATCH($A15,Productos!$A:$A),COLUMN(B15))</f>
        <v>Arroz grano corto</v>
      </c>
      <c r="C15" s="4" t="n">
        <v>14</v>
      </c>
      <c r="E15" s="16" t="n">
        <v>13</v>
      </c>
      <c r="F15" s="0" t="n">
        <f aca="false">COUNTIF(C14:C125,E15)</f>
        <v>8</v>
      </c>
      <c r="G15" s="0" t="n">
        <v>1006</v>
      </c>
      <c r="H15" s="0" t="s">
        <v>26</v>
      </c>
      <c r="I15" s="0" t="n">
        <v>4</v>
      </c>
      <c r="J15" s="17" t="n">
        <f aca="false">RANDBETWEEN(1,14)</f>
        <v>14</v>
      </c>
      <c r="K15" s="16" t="s">
        <v>191</v>
      </c>
    </row>
    <row r="16" customFormat="false" ht="15.75" hidden="false" customHeight="true" outlineLevel="0" collapsed="false">
      <c r="A16" s="4" t="n">
        <v>1002</v>
      </c>
      <c r="B16" s="4" t="str">
        <f aca="false" t="array" ref="B16:B16">INDEX(Productos!$A:B,MATCH($A16,Productos!$A:$A),COLUMN(B16))</f>
        <v>Vinagre de arroz</v>
      </c>
      <c r="C16" s="4" t="n">
        <v>1</v>
      </c>
      <c r="E16" s="16" t="n">
        <v>14</v>
      </c>
      <c r="F16" s="0" t="n">
        <f aca="false">COUNTIF(C15:C126,E16)</f>
        <v>8</v>
      </c>
      <c r="G16" s="0" t="n">
        <v>1006</v>
      </c>
      <c r="H16" s="0" t="s">
        <v>26</v>
      </c>
      <c r="I16" s="0" t="n">
        <v>14</v>
      </c>
      <c r="J16" s="17" t="n">
        <f aca="false">RANDBETWEEN(1,14)</f>
        <v>3</v>
      </c>
      <c r="K16" s="16" t="s">
        <v>191</v>
      </c>
    </row>
    <row r="17" customFormat="false" ht="15.75" hidden="false" customHeight="true" outlineLevel="0" collapsed="false">
      <c r="A17" s="0" t="n">
        <v>1002</v>
      </c>
      <c r="B17" s="4" t="str">
        <f aca="false" t="array" ref="B17:B17">INDEX(Productos!$A:B,MATCH($A17,Productos!$A:$A),COLUMN(B17))</f>
        <v>Vinagre de arroz</v>
      </c>
      <c r="C17" s="0" t="n">
        <v>2</v>
      </c>
      <c r="G17" s="0" t="n">
        <v>1007</v>
      </c>
      <c r="H17" s="0" t="s">
        <v>29</v>
      </c>
      <c r="I17" s="0" t="n">
        <v>5</v>
      </c>
      <c r="J17" s="17" t="n">
        <f aca="false">RANDBETWEEN(1,14)</f>
        <v>1</v>
      </c>
      <c r="K17" s="16" t="s">
        <v>191</v>
      </c>
    </row>
    <row r="18" customFormat="false" ht="15.75" hidden="false" customHeight="true" outlineLevel="0" collapsed="false">
      <c r="A18" s="0" t="n">
        <v>1002</v>
      </c>
      <c r="B18" s="4" t="str">
        <f aca="false" t="array" ref="B18:B18">INDEX(Productos!$A:B,MATCH($A18,Productos!$A:$A),COLUMN(B18))</f>
        <v>Vinagre de arroz</v>
      </c>
      <c r="C18" s="16" t="n">
        <v>3</v>
      </c>
      <c r="G18" s="0" t="n">
        <v>1007</v>
      </c>
      <c r="H18" s="0" t="s">
        <v>29</v>
      </c>
      <c r="I18" s="0" t="n">
        <v>7</v>
      </c>
      <c r="J18" s="17" t="n">
        <f aca="false">RANDBETWEEN(1,14)</f>
        <v>5</v>
      </c>
      <c r="K18" s="16" t="s">
        <v>191</v>
      </c>
    </row>
    <row r="19" customFormat="false" ht="15.75" hidden="false" customHeight="true" outlineLevel="0" collapsed="false">
      <c r="A19" s="4" t="n">
        <v>1002</v>
      </c>
      <c r="B19" s="4" t="str">
        <f aca="false" t="array" ref="B19:B19">INDEX(Productos!$A:B,MATCH($A19,Productos!$A:$A),COLUMN(B19))</f>
        <v>Vinagre de arroz</v>
      </c>
      <c r="C19" s="4" t="n">
        <v>6</v>
      </c>
      <c r="G19" s="0" t="n">
        <v>1007</v>
      </c>
      <c r="H19" s="0" t="s">
        <v>29</v>
      </c>
      <c r="I19" s="0" t="n">
        <v>10</v>
      </c>
      <c r="J19" s="17" t="n">
        <f aca="false">RANDBETWEEN(1,14)</f>
        <v>3</v>
      </c>
      <c r="K19" s="16" t="s">
        <v>191</v>
      </c>
    </row>
    <row r="20" customFormat="false" ht="15.75" hidden="false" customHeight="true" outlineLevel="0" collapsed="false">
      <c r="A20" s="4" t="n">
        <v>1002</v>
      </c>
      <c r="B20" s="4" t="str">
        <f aca="false" t="array" ref="B20:B20">INDEX(Productos!$A:B,MATCH($A20,Productos!$A:$A),COLUMN(B20))</f>
        <v>Vinagre de arroz</v>
      </c>
      <c r="C20" s="4" t="n">
        <v>8</v>
      </c>
      <c r="G20" s="0" t="n">
        <v>1008</v>
      </c>
      <c r="H20" s="0" t="s">
        <v>31</v>
      </c>
      <c r="I20" s="0" t="n">
        <v>9</v>
      </c>
      <c r="J20" s="17" t="n">
        <f aca="false">RANDBETWEEN(1,14)</f>
        <v>11</v>
      </c>
      <c r="K20" s="16" t="s">
        <v>191</v>
      </c>
    </row>
    <row r="21" customFormat="false" ht="15.75" hidden="false" customHeight="true" outlineLevel="0" collapsed="false">
      <c r="A21" s="0" t="n">
        <v>1002</v>
      </c>
      <c r="B21" s="4" t="str">
        <f aca="false" t="array" ref="B21:B21">INDEX(Productos!$A:B,MATCH($A21,Productos!$A:$A),COLUMN(B21))</f>
        <v>Vinagre de arroz</v>
      </c>
      <c r="C21" s="0" t="n">
        <v>9</v>
      </c>
      <c r="G21" s="0" t="n">
        <v>1008</v>
      </c>
      <c r="H21" s="0" t="s">
        <v>31</v>
      </c>
      <c r="I21" s="0" t="n">
        <v>10</v>
      </c>
      <c r="J21" s="17" t="n">
        <f aca="false">RANDBETWEEN(1,14)</f>
        <v>12</v>
      </c>
      <c r="K21" s="16" t="s">
        <v>191</v>
      </c>
    </row>
    <row r="22" customFormat="false" ht="15.75" hidden="false" customHeight="true" outlineLevel="0" collapsed="false">
      <c r="A22" s="4" t="n">
        <v>1003</v>
      </c>
      <c r="B22" s="4" t="str">
        <f aca="false" t="array" ref="B22:B22">INDEX(Productos!$A:B,MATCH($A22,Productos!$A:$A),COLUMN(B22))</f>
        <v>Azúcar</v>
      </c>
      <c r="C22" s="4" t="n">
        <v>6</v>
      </c>
      <c r="G22" s="0" t="n">
        <v>1008</v>
      </c>
      <c r="H22" s="0" t="s">
        <v>31</v>
      </c>
      <c r="I22" s="0" t="n">
        <v>14</v>
      </c>
      <c r="J22" s="17" t="n">
        <f aca="false">RANDBETWEEN(1,14)</f>
        <v>11</v>
      </c>
      <c r="K22" s="16" t="s">
        <v>191</v>
      </c>
    </row>
    <row r="23" customFormat="false" ht="15.75" hidden="false" customHeight="true" outlineLevel="0" collapsed="false">
      <c r="A23" s="4" t="n">
        <v>1003</v>
      </c>
      <c r="B23" s="4" t="str">
        <f aca="false" t="array" ref="B23:B23">INDEX(Productos!$A:B,MATCH($A23,Productos!$A:$A),COLUMN(B23))</f>
        <v>Azúcar</v>
      </c>
      <c r="C23" s="4" t="n">
        <v>7</v>
      </c>
      <c r="G23" s="0" t="n">
        <v>1009</v>
      </c>
      <c r="H23" s="0" t="s">
        <v>33</v>
      </c>
      <c r="I23" s="0" t="n">
        <v>4</v>
      </c>
      <c r="J23" s="17" t="n">
        <f aca="false">RANDBETWEEN(1,14)</f>
        <v>12</v>
      </c>
      <c r="K23" s="16" t="s">
        <v>191</v>
      </c>
    </row>
    <row r="24" customFormat="false" ht="15.75" hidden="false" customHeight="true" outlineLevel="0" collapsed="false">
      <c r="A24" s="0" t="n">
        <v>1003</v>
      </c>
      <c r="B24" s="4" t="str">
        <f aca="false" t="array" ref="B24:B24">INDEX(Productos!$A:B,MATCH($A24,Productos!$A:$A),COLUMN(B24))</f>
        <v>Azúcar</v>
      </c>
      <c r="C24" s="0" t="n">
        <v>8</v>
      </c>
      <c r="G24" s="0" t="n">
        <v>1009</v>
      </c>
      <c r="H24" s="0" t="s">
        <v>33</v>
      </c>
      <c r="I24" s="0" t="n">
        <v>12</v>
      </c>
      <c r="J24" s="17" t="n">
        <f aca="false">RANDBETWEEN(1,14)</f>
        <v>8</v>
      </c>
      <c r="K24" s="16" t="s">
        <v>191</v>
      </c>
    </row>
    <row r="25" customFormat="false" ht="15.75" hidden="false" customHeight="true" outlineLevel="0" collapsed="false">
      <c r="A25" s="4" t="n">
        <v>1003</v>
      </c>
      <c r="B25" s="4" t="str">
        <f aca="false" t="array" ref="B25:B25">INDEX(Productos!$A:B,MATCH($A25,Productos!$A:$A),COLUMN(B25))</f>
        <v>Azúcar</v>
      </c>
      <c r="C25" s="4" t="n">
        <v>11</v>
      </c>
      <c r="G25" s="0" t="n">
        <v>1009</v>
      </c>
      <c r="H25" s="0" t="s">
        <v>33</v>
      </c>
      <c r="I25" s="0" t="n">
        <v>14</v>
      </c>
      <c r="J25" s="17" t="n">
        <f aca="false">RANDBETWEEN(1,14)</f>
        <v>4</v>
      </c>
      <c r="K25" s="16" t="s">
        <v>191</v>
      </c>
    </row>
    <row r="26" customFormat="false" ht="15.75" hidden="false" customHeight="true" outlineLevel="0" collapsed="false">
      <c r="A26" s="0" t="n">
        <v>1003</v>
      </c>
      <c r="B26" s="4" t="str">
        <f aca="false" t="array" ref="B26:B26">INDEX(Productos!$A:B,MATCH($A26,Productos!$A:$A),COLUMN(B26))</f>
        <v>Azúcar</v>
      </c>
      <c r="C26" s="16" t="n">
        <v>12</v>
      </c>
      <c r="G26" s="0" t="n">
        <v>1010</v>
      </c>
      <c r="H26" s="0" t="s">
        <v>35</v>
      </c>
      <c r="I26" s="0" t="n">
        <v>1</v>
      </c>
      <c r="J26" s="17" t="n">
        <f aca="false">RANDBETWEEN(1,14)</f>
        <v>2</v>
      </c>
      <c r="K26" s="16" t="s">
        <v>191</v>
      </c>
    </row>
    <row r="27" customFormat="false" ht="15.75" hidden="false" customHeight="true" outlineLevel="0" collapsed="false">
      <c r="A27" s="0" t="n">
        <v>1003</v>
      </c>
      <c r="B27" s="4" t="str">
        <f aca="false" t="array" ref="B27:B27">INDEX(Productos!$A:B,MATCH($A27,Productos!$A:$A),COLUMN(B27))</f>
        <v>Azúcar</v>
      </c>
      <c r="C27" s="0" t="n">
        <v>13</v>
      </c>
      <c r="G27" s="0" t="n">
        <v>1010</v>
      </c>
      <c r="H27" s="0" t="s">
        <v>35</v>
      </c>
      <c r="I27" s="0" t="n">
        <v>10</v>
      </c>
      <c r="J27" s="17" t="n">
        <f aca="false">RANDBETWEEN(1,14)</f>
        <v>7</v>
      </c>
      <c r="K27" s="16" t="s">
        <v>191</v>
      </c>
    </row>
    <row r="28" customFormat="false" ht="15.75" hidden="false" customHeight="true" outlineLevel="0" collapsed="false">
      <c r="A28" s="4" t="n">
        <v>1004</v>
      </c>
      <c r="B28" s="4" t="str">
        <f aca="false" t="array" ref="B28:B28">INDEX(Productos!$A:B,MATCH($A28,Productos!$A:$A),COLUMN(B28))</f>
        <v>Sal</v>
      </c>
      <c r="C28" s="4" t="n">
        <v>3</v>
      </c>
      <c r="G28" s="0" t="n">
        <v>1010</v>
      </c>
      <c r="H28" s="0" t="s">
        <v>35</v>
      </c>
      <c r="I28" s="0" t="n">
        <v>13</v>
      </c>
      <c r="J28" s="17" t="n">
        <f aca="false">RANDBETWEEN(1,14)</f>
        <v>10</v>
      </c>
      <c r="K28" s="16" t="s">
        <v>191</v>
      </c>
    </row>
    <row r="29" customFormat="false" ht="15.75" hidden="false" customHeight="true" outlineLevel="0" collapsed="false">
      <c r="A29" s="4" t="n">
        <v>1004</v>
      </c>
      <c r="B29" s="4" t="str">
        <f aca="false" t="array" ref="B29:B29">INDEX(Productos!$A:B,MATCH($A29,Productos!$A:$A),COLUMN(B29))</f>
        <v>Sal</v>
      </c>
      <c r="C29" s="4" t="n">
        <v>4</v>
      </c>
      <c r="G29" s="0" t="n">
        <v>1011</v>
      </c>
      <c r="H29" s="0" t="s">
        <v>37</v>
      </c>
      <c r="I29" s="0" t="n">
        <v>5</v>
      </c>
      <c r="J29" s="17" t="n">
        <f aca="false">RANDBETWEEN(1,14)</f>
        <v>12</v>
      </c>
      <c r="K29" s="16" t="s">
        <v>191</v>
      </c>
    </row>
    <row r="30" customFormat="false" ht="15.75" hidden="false" customHeight="true" outlineLevel="0" collapsed="false">
      <c r="A30" s="0" t="n">
        <v>1004</v>
      </c>
      <c r="B30" s="4" t="str">
        <f aca="false" t="array" ref="B30:B30">INDEX(Productos!$A:B,MATCH($A30,Productos!$A:$A),COLUMN(B30))</f>
        <v>Sal</v>
      </c>
      <c r="C30" s="0" t="n">
        <v>9</v>
      </c>
      <c r="G30" s="0" t="n">
        <v>1011</v>
      </c>
      <c r="H30" s="0" t="s">
        <v>37</v>
      </c>
      <c r="I30" s="0" t="n">
        <v>7</v>
      </c>
      <c r="J30" s="17" t="n">
        <f aca="false">RANDBETWEEN(1,14)</f>
        <v>3</v>
      </c>
      <c r="K30" s="16" t="s">
        <v>191</v>
      </c>
    </row>
    <row r="31" customFormat="false" ht="15.75" hidden="false" customHeight="true" outlineLevel="0" collapsed="false">
      <c r="A31" s="4" t="n">
        <v>1004</v>
      </c>
      <c r="B31" s="4" t="str">
        <f aca="false" t="array" ref="B31:B31">INDEX(Productos!$A:B,MATCH($A31,Productos!$A:$A),COLUMN(B31))</f>
        <v>Sal</v>
      </c>
      <c r="C31" s="4" t="n">
        <v>10</v>
      </c>
      <c r="G31" s="0" t="n">
        <v>1011</v>
      </c>
      <c r="H31" s="0" t="s">
        <v>37</v>
      </c>
      <c r="I31" s="0" t="n">
        <v>12</v>
      </c>
      <c r="J31" s="17" t="n">
        <f aca="false">RANDBETWEEN(1,14)</f>
        <v>10</v>
      </c>
      <c r="K31" s="16" t="s">
        <v>191</v>
      </c>
    </row>
    <row r="32" customFormat="false" ht="15.75" hidden="false" customHeight="true" outlineLevel="0" collapsed="false">
      <c r="A32" s="0" t="n">
        <v>1004</v>
      </c>
      <c r="B32" s="4" t="str">
        <f aca="false" t="array" ref="B32:B32">INDEX(Productos!$A:B,MATCH($A32,Productos!$A:$A),COLUMN(B32))</f>
        <v>Sal</v>
      </c>
      <c r="C32" s="0" t="n">
        <v>13</v>
      </c>
      <c r="G32" s="0" t="n">
        <v>1012</v>
      </c>
      <c r="H32" s="0" t="s">
        <v>39</v>
      </c>
      <c r="I32" s="0" t="n">
        <v>2</v>
      </c>
      <c r="J32" s="17" t="n">
        <f aca="false">RANDBETWEEN(1,14)</f>
        <v>1</v>
      </c>
      <c r="K32" s="16" t="s">
        <v>191</v>
      </c>
    </row>
    <row r="33" customFormat="false" ht="15.75" hidden="false" customHeight="true" outlineLevel="0" collapsed="false">
      <c r="A33" s="0" t="n">
        <v>1004</v>
      </c>
      <c r="B33" s="4" t="str">
        <f aca="false" t="array" ref="B33:B33">INDEX(Productos!$A:B,MATCH($A33,Productos!$A:$A),COLUMN(B33))</f>
        <v>Sal</v>
      </c>
      <c r="C33" s="16" t="n">
        <v>14</v>
      </c>
      <c r="G33" s="0" t="n">
        <v>1012</v>
      </c>
      <c r="H33" s="0" t="s">
        <v>39</v>
      </c>
      <c r="I33" s="0" t="n">
        <v>5</v>
      </c>
      <c r="J33" s="17" t="n">
        <f aca="false">RANDBETWEEN(1,14)</f>
        <v>9</v>
      </c>
      <c r="K33" s="16" t="s">
        <v>191</v>
      </c>
    </row>
    <row r="34" customFormat="false" ht="15.75" hidden="false" customHeight="true" outlineLevel="0" collapsed="false">
      <c r="A34" s="0" t="n">
        <v>1005</v>
      </c>
      <c r="B34" s="4" t="str">
        <f aca="false" t="array" ref="B34:B34">INDEX(Productos!$A:B,MATCH($A34,Productos!$A:$A),COLUMN(B34))</f>
        <v>Kanikama entero</v>
      </c>
      <c r="C34" s="16" t="n">
        <v>1</v>
      </c>
      <c r="G34" s="0" t="n">
        <v>1012</v>
      </c>
      <c r="H34" s="0" t="s">
        <v>39</v>
      </c>
      <c r="I34" s="0" t="n">
        <v>14</v>
      </c>
      <c r="J34" s="17" t="n">
        <f aca="false">RANDBETWEEN(1,14)</f>
        <v>8</v>
      </c>
      <c r="K34" s="16" t="s">
        <v>191</v>
      </c>
    </row>
    <row r="35" customFormat="false" ht="15.75" hidden="false" customHeight="true" outlineLevel="0" collapsed="false">
      <c r="A35" s="4" t="n">
        <v>1005</v>
      </c>
      <c r="B35" s="4" t="str">
        <f aca="false" t="array" ref="B35:B35">INDEX(Productos!$A:B,MATCH($A35,Productos!$A:$A),COLUMN(B35))</f>
        <v>Kanikama entero</v>
      </c>
      <c r="C35" s="4" t="n">
        <v>4</v>
      </c>
      <c r="G35" s="0" t="n">
        <v>1013</v>
      </c>
      <c r="H35" s="0" t="s">
        <v>41</v>
      </c>
      <c r="I35" s="0" t="n">
        <v>7</v>
      </c>
      <c r="J35" s="17" t="n">
        <f aca="false">RANDBETWEEN(1,14)</f>
        <v>11</v>
      </c>
      <c r="K35" s="16" t="s">
        <v>191</v>
      </c>
    </row>
    <row r="36" customFormat="false" ht="15.75" hidden="false" customHeight="true" outlineLevel="0" collapsed="false">
      <c r="A36" s="4" t="n">
        <v>1005</v>
      </c>
      <c r="B36" s="4" t="str">
        <f aca="false" t="array" ref="B36:B36">INDEX(Productos!$A:B,MATCH($A36,Productos!$A:$A),COLUMN(B36))</f>
        <v>Kanikama entero</v>
      </c>
      <c r="C36" s="4" t="n">
        <v>5</v>
      </c>
      <c r="G36" s="0" t="n">
        <v>1013</v>
      </c>
      <c r="H36" s="0" t="s">
        <v>41</v>
      </c>
      <c r="I36" s="0" t="n">
        <v>9</v>
      </c>
      <c r="J36" s="17" t="n">
        <f aca="false">RANDBETWEEN(1,14)</f>
        <v>12</v>
      </c>
      <c r="K36" s="16" t="s">
        <v>191</v>
      </c>
    </row>
    <row r="37" customFormat="false" ht="15.75" hidden="false" customHeight="true" outlineLevel="0" collapsed="false">
      <c r="A37" s="0" t="n">
        <v>1005</v>
      </c>
      <c r="B37" s="4" t="str">
        <f aca="false" t="array" ref="B37:B37">INDEX(Productos!$A:B,MATCH($A37,Productos!$A:$A),COLUMN(B37))</f>
        <v>Kanikama entero</v>
      </c>
      <c r="C37" s="0" t="n">
        <v>6</v>
      </c>
      <c r="G37" s="0" t="n">
        <v>1013</v>
      </c>
      <c r="H37" s="0" t="s">
        <v>41</v>
      </c>
      <c r="I37" s="0" t="n">
        <v>13</v>
      </c>
      <c r="J37" s="17" t="n">
        <f aca="false">RANDBETWEEN(1,14)</f>
        <v>13</v>
      </c>
      <c r="K37" s="16" t="s">
        <v>191</v>
      </c>
    </row>
    <row r="38" customFormat="false" ht="15.75" hidden="false" customHeight="true" outlineLevel="0" collapsed="false">
      <c r="A38" s="4" t="n">
        <v>1005</v>
      </c>
      <c r="B38" s="4" t="str">
        <f aca="false" t="array" ref="B38:B38">INDEX(Productos!$A:B,MATCH($A38,Productos!$A:$A),COLUMN(B38))</f>
        <v>Kanikama entero</v>
      </c>
      <c r="C38" s="4" t="n">
        <v>8</v>
      </c>
      <c r="G38" s="0" t="n">
        <v>1014</v>
      </c>
      <c r="H38" s="0" t="s">
        <v>43</v>
      </c>
      <c r="I38" s="0" t="n">
        <v>2</v>
      </c>
      <c r="J38" s="17" t="n">
        <f aca="false">RANDBETWEEN(1,14)</f>
        <v>7</v>
      </c>
      <c r="K38" s="16" t="s">
        <v>191</v>
      </c>
    </row>
    <row r="39" customFormat="false" ht="15.75" hidden="false" customHeight="true" outlineLevel="0" collapsed="false">
      <c r="A39" s="0" t="n">
        <v>1005</v>
      </c>
      <c r="B39" s="4" t="str">
        <f aca="false" t="array" ref="B39:B39">INDEX(Productos!$A:B,MATCH($A39,Productos!$A:$A),COLUMN(B39))</f>
        <v>Kanikama entero</v>
      </c>
      <c r="C39" s="0" t="n">
        <v>12</v>
      </c>
      <c r="G39" s="0" t="n">
        <v>1014</v>
      </c>
      <c r="H39" s="0" t="s">
        <v>43</v>
      </c>
      <c r="I39" s="0" t="n">
        <v>8</v>
      </c>
      <c r="J39" s="17" t="n">
        <f aca="false">RANDBETWEEN(1,14)</f>
        <v>9</v>
      </c>
      <c r="K39" s="16" t="s">
        <v>191</v>
      </c>
    </row>
    <row r="40" customFormat="false" ht="15.75" hidden="false" customHeight="true" outlineLevel="0" collapsed="false">
      <c r="A40" s="4" t="n">
        <v>1006</v>
      </c>
      <c r="B40" s="4" t="str">
        <f aca="false" t="array" ref="B40:B40">INDEX(Productos!$A:B,MATCH($A40,Productos!$A:$A),COLUMN(B40))</f>
        <v>Camarón</v>
      </c>
      <c r="C40" s="4" t="n">
        <v>2</v>
      </c>
      <c r="G40" s="0" t="n">
        <v>1014</v>
      </c>
      <c r="H40" s="0" t="s">
        <v>43</v>
      </c>
      <c r="I40" s="0" t="n">
        <v>11</v>
      </c>
      <c r="J40" s="17" t="n">
        <f aca="false">RANDBETWEEN(1,14)</f>
        <v>2</v>
      </c>
      <c r="K40" s="16" t="s">
        <v>191</v>
      </c>
    </row>
    <row r="41" customFormat="false" ht="15.75" hidden="false" customHeight="true" outlineLevel="0" collapsed="false">
      <c r="A41" s="0" t="n">
        <v>1006</v>
      </c>
      <c r="B41" s="4" t="str">
        <f aca="false" t="array" ref="B41:B41">INDEX(Productos!$A:B,MATCH($A41,Productos!$A:$A),COLUMN(B41))</f>
        <v>Camarón</v>
      </c>
      <c r="C41" s="0" t="n">
        <v>3</v>
      </c>
      <c r="G41" s="0" t="n">
        <v>1015</v>
      </c>
      <c r="H41" s="0" t="s">
        <v>45</v>
      </c>
      <c r="I41" s="0" t="n">
        <v>3</v>
      </c>
      <c r="J41" s="17" t="n">
        <f aca="false">RANDBETWEEN(1,14)</f>
        <v>10</v>
      </c>
      <c r="K41" s="16" t="s">
        <v>191</v>
      </c>
    </row>
    <row r="42" customFormat="false" ht="15.75" hidden="false" customHeight="true" outlineLevel="0" collapsed="false">
      <c r="A42" s="0" t="n">
        <v>1006</v>
      </c>
      <c r="B42" s="4" t="str">
        <f aca="false" t="array" ref="B42:B42">INDEX(Productos!$A:B,MATCH($A42,Productos!$A:$A),COLUMN(B42))</f>
        <v>Camarón</v>
      </c>
      <c r="C42" s="0" t="n">
        <v>4</v>
      </c>
      <c r="G42" s="0" t="n">
        <v>1015</v>
      </c>
      <c r="H42" s="0" t="s">
        <v>45</v>
      </c>
      <c r="I42" s="0" t="n">
        <v>4</v>
      </c>
      <c r="J42" s="17" t="n">
        <f aca="false">RANDBETWEEN(1,14)</f>
        <v>4</v>
      </c>
      <c r="K42" s="16" t="s">
        <v>191</v>
      </c>
    </row>
    <row r="43" customFormat="false" ht="15.75" hidden="false" customHeight="true" outlineLevel="0" collapsed="false">
      <c r="A43" s="4" t="n">
        <v>1006</v>
      </c>
      <c r="B43" s="4" t="str">
        <f aca="false" t="array" ref="B43:B43">INDEX(Productos!$A:B,MATCH($A43,Productos!$A:$A),COLUMN(B43))</f>
        <v>Camarón</v>
      </c>
      <c r="C43" s="4" t="n">
        <v>5</v>
      </c>
      <c r="G43" s="0" t="n">
        <v>1015</v>
      </c>
      <c r="H43" s="0" t="s">
        <v>45</v>
      </c>
      <c r="I43" s="0" t="n">
        <v>5</v>
      </c>
      <c r="J43" s="17" t="n">
        <f aca="false">RANDBETWEEN(1,14)</f>
        <v>10</v>
      </c>
      <c r="K43" s="16" t="s">
        <v>191</v>
      </c>
    </row>
    <row r="44" customFormat="false" ht="15.75" hidden="false" customHeight="true" outlineLevel="0" collapsed="false">
      <c r="A44" s="4" t="n">
        <v>1006</v>
      </c>
      <c r="B44" s="4" t="str">
        <f aca="false" t="array" ref="B44:B44">INDEX(Productos!$A:B,MATCH($A44,Productos!$A:$A),COLUMN(B44))</f>
        <v>Camarón</v>
      </c>
      <c r="C44" s="4" t="n">
        <v>7</v>
      </c>
      <c r="F44" s="16"/>
      <c r="G44" s="16" t="n">
        <v>1002</v>
      </c>
      <c r="H44" s="16" t="s">
        <v>19</v>
      </c>
      <c r="I44" s="16" t="n">
        <v>6</v>
      </c>
    </row>
    <row r="45" customFormat="false" ht="13" hidden="false" customHeight="false" outlineLevel="0" collapsed="false">
      <c r="A45" s="0" t="n">
        <v>1006</v>
      </c>
      <c r="B45" s="4" t="str">
        <f aca="false" t="array" ref="B45:B45">INDEX(Productos!$A:B,MATCH($A45,Productos!$A:$A),COLUMN(B45))</f>
        <v>Camarón</v>
      </c>
      <c r="C45" s="16" t="n">
        <v>8</v>
      </c>
      <c r="F45" s="16"/>
      <c r="G45" s="16" t="n">
        <v>1002</v>
      </c>
      <c r="H45" s="16" t="s">
        <v>19</v>
      </c>
      <c r="I45" s="16" t="n">
        <v>8</v>
      </c>
    </row>
    <row r="46" customFormat="false" ht="13" hidden="false" customHeight="false" outlineLevel="0" collapsed="false">
      <c r="A46" s="0" t="n">
        <v>1007</v>
      </c>
      <c r="B46" s="4" t="str">
        <f aca="false" t="array" ref="B46:B46">INDEX(Productos!$A:B,MATCH($A46,Productos!$A:$A),COLUMN(B46))</f>
        <v>Filete de salmón</v>
      </c>
      <c r="C46" s="0" t="n">
        <v>5</v>
      </c>
      <c r="F46" s="16"/>
      <c r="G46" s="16" t="n">
        <v>1002</v>
      </c>
      <c r="H46" s="16" t="s">
        <v>19</v>
      </c>
      <c r="I46" s="16" t="n">
        <v>14</v>
      </c>
    </row>
    <row r="47" customFormat="false" ht="13" hidden="false" customHeight="false" outlineLevel="0" collapsed="false">
      <c r="A47" s="4" t="n">
        <v>1007</v>
      </c>
      <c r="B47" s="4" t="str">
        <f aca="false" t="array" ref="B47:B47">INDEX(Productos!$A:B,MATCH($A47,Productos!$A:$A),COLUMN(B47))</f>
        <v>Filete de salmón</v>
      </c>
      <c r="C47" s="4" t="n">
        <v>6</v>
      </c>
      <c r="F47" s="16"/>
      <c r="G47" s="16" t="n">
        <v>1003</v>
      </c>
      <c r="H47" s="16" t="s">
        <v>21</v>
      </c>
      <c r="I47" s="16" t="n">
        <v>2</v>
      </c>
    </row>
    <row r="48" customFormat="false" ht="13" hidden="false" customHeight="false" outlineLevel="0" collapsed="false">
      <c r="A48" s="0" t="n">
        <v>1007</v>
      </c>
      <c r="B48" s="4" t="str">
        <f aca="false" t="array" ref="B48:B48">INDEX(Productos!$A:B,MATCH($A48,Productos!$A:$A),COLUMN(B48))</f>
        <v>Filete de salmón</v>
      </c>
      <c r="C48" s="0" t="n">
        <v>7</v>
      </c>
      <c r="F48" s="16"/>
      <c r="G48" s="16" t="n">
        <v>1003</v>
      </c>
      <c r="H48" s="16" t="s">
        <v>21</v>
      </c>
      <c r="I48" s="16" t="n">
        <v>6</v>
      </c>
    </row>
    <row r="49" customFormat="false" ht="13" hidden="false" customHeight="false" outlineLevel="0" collapsed="false">
      <c r="A49" s="0" t="n">
        <v>1007</v>
      </c>
      <c r="B49" s="4" t="str">
        <f aca="false" t="array" ref="B49:B49">INDEX(Productos!$A:B,MATCH($A49,Productos!$A:$A),COLUMN(B49))</f>
        <v>Filete de salmón</v>
      </c>
      <c r="C49" s="0" t="n">
        <v>10</v>
      </c>
      <c r="F49" s="16"/>
      <c r="G49" s="16" t="n">
        <v>1003</v>
      </c>
      <c r="H49" s="16" t="s">
        <v>21</v>
      </c>
      <c r="I49" s="16" t="n">
        <v>7</v>
      </c>
    </row>
    <row r="50" customFormat="false" ht="13" hidden="false" customHeight="false" outlineLevel="0" collapsed="false">
      <c r="A50" s="4" t="n">
        <v>1007</v>
      </c>
      <c r="B50" s="4" t="str">
        <f aca="false" t="array" ref="B50:B50">INDEX(Productos!$A:B,MATCH($A50,Productos!$A:$A),COLUMN(B50))</f>
        <v>Filete de salmón</v>
      </c>
      <c r="C50" s="4" t="n">
        <v>11</v>
      </c>
      <c r="F50" s="16"/>
      <c r="G50" s="16" t="n">
        <v>1004</v>
      </c>
      <c r="H50" s="16" t="s">
        <v>23</v>
      </c>
      <c r="I50" s="16" t="n">
        <v>3</v>
      </c>
    </row>
    <row r="51" customFormat="false" ht="13" hidden="false" customHeight="false" outlineLevel="0" collapsed="false">
      <c r="A51" s="4" t="n">
        <v>1007</v>
      </c>
      <c r="B51" s="4" t="str">
        <f aca="false" t="array" ref="B51:B51">INDEX(Productos!$A:B,MATCH($A51,Productos!$A:$A),COLUMN(B51))</f>
        <v>Filete de salmón</v>
      </c>
      <c r="C51" s="4" t="n">
        <v>13</v>
      </c>
      <c r="F51" s="16"/>
      <c r="G51" s="16" t="n">
        <v>1004</v>
      </c>
      <c r="H51" s="16" t="s">
        <v>23</v>
      </c>
      <c r="I51" s="16" t="n">
        <v>4</v>
      </c>
    </row>
    <row r="52" customFormat="false" ht="13" hidden="false" customHeight="false" outlineLevel="0" collapsed="false">
      <c r="A52" s="4" t="n">
        <v>1008</v>
      </c>
      <c r="B52" s="4" t="str">
        <f aca="false" t="array" ref="B52:B52">INDEX(Productos!$A:B,MATCH($A52,Productos!$A:$A),COLUMN(B52))</f>
        <v>Filete de salmón ahumado</v>
      </c>
      <c r="C52" s="4" t="n">
        <v>1</v>
      </c>
      <c r="F52" s="16"/>
      <c r="G52" s="16" t="n">
        <v>1004</v>
      </c>
      <c r="H52" s="16" t="s">
        <v>23</v>
      </c>
      <c r="I52" s="16" t="n">
        <v>10</v>
      </c>
    </row>
    <row r="53" customFormat="false" ht="13" hidden="false" customHeight="false" outlineLevel="0" collapsed="false">
      <c r="A53" s="4" t="n">
        <v>1008</v>
      </c>
      <c r="B53" s="4" t="str">
        <f aca="false" t="array" ref="B53:B53">INDEX(Productos!$A:B,MATCH($A53,Productos!$A:$A),COLUMN(B53))</f>
        <v>Filete de salmón ahumado</v>
      </c>
      <c r="C53" s="4" t="n">
        <v>5</v>
      </c>
      <c r="F53" s="16"/>
      <c r="G53" s="16" t="n">
        <v>1005</v>
      </c>
      <c r="H53" s="16" t="s">
        <v>25</v>
      </c>
      <c r="I53" s="16" t="n">
        <v>4</v>
      </c>
    </row>
    <row r="54" customFormat="false" ht="13" hidden="false" customHeight="false" outlineLevel="0" collapsed="false">
      <c r="A54" s="4" t="n">
        <v>1008</v>
      </c>
      <c r="B54" s="4" t="str">
        <f aca="false" t="array" ref="B54:B54">INDEX(Productos!$A:B,MATCH($A54,Productos!$A:$A),COLUMN(B54))</f>
        <v>Filete de salmón ahumado</v>
      </c>
      <c r="C54" s="4" t="n">
        <v>7</v>
      </c>
      <c r="F54" s="16"/>
      <c r="G54" s="16" t="n">
        <v>1005</v>
      </c>
      <c r="H54" s="16" t="s">
        <v>25</v>
      </c>
      <c r="I54" s="16" t="n">
        <v>5</v>
      </c>
    </row>
    <row r="55" customFormat="false" ht="13" hidden="false" customHeight="false" outlineLevel="0" collapsed="false">
      <c r="A55" s="0" t="n">
        <v>1008</v>
      </c>
      <c r="B55" s="4" t="str">
        <f aca="false" t="array" ref="B55:B55">INDEX(Productos!$A:B,MATCH($A55,Productos!$A:$A),COLUMN(B55))</f>
        <v>Filete de salmón ahumado</v>
      </c>
      <c r="C55" s="0" t="n">
        <v>9</v>
      </c>
      <c r="F55" s="16"/>
      <c r="G55" s="16" t="n">
        <v>1005</v>
      </c>
      <c r="H55" s="16" t="s">
        <v>25</v>
      </c>
      <c r="I55" s="16" t="n">
        <v>8</v>
      </c>
    </row>
    <row r="56" customFormat="false" ht="13" hidden="false" customHeight="false" outlineLevel="0" collapsed="false">
      <c r="A56" s="0" t="n">
        <v>1008</v>
      </c>
      <c r="B56" s="4" t="str">
        <f aca="false" t="array" ref="B56:B56">INDEX(Productos!$A:B,MATCH($A56,Productos!$A:$A),COLUMN(B56))</f>
        <v>Filete de salmón ahumado</v>
      </c>
      <c r="C56" s="0" t="n">
        <v>10</v>
      </c>
      <c r="F56" s="16"/>
      <c r="G56" s="16" t="n">
        <v>1006</v>
      </c>
      <c r="H56" s="16" t="s">
        <v>26</v>
      </c>
      <c r="I56" s="16" t="n">
        <v>2</v>
      </c>
    </row>
    <row r="57" customFormat="false" ht="13" hidden="false" customHeight="false" outlineLevel="0" collapsed="false">
      <c r="A57" s="0" t="n">
        <v>1008</v>
      </c>
      <c r="B57" s="4" t="str">
        <f aca="false" t="array" ref="B57:B57">INDEX(Productos!$A:B,MATCH($A57,Productos!$A:$A),COLUMN(B57))</f>
        <v>Filete de salmón ahumado</v>
      </c>
      <c r="C57" s="0" t="n">
        <v>14</v>
      </c>
      <c r="F57" s="16"/>
      <c r="G57" s="16" t="n">
        <v>1006</v>
      </c>
      <c r="H57" s="16" t="s">
        <v>26</v>
      </c>
      <c r="I57" s="16" t="n">
        <v>5</v>
      </c>
    </row>
    <row r="58" customFormat="false" ht="13" hidden="false" customHeight="false" outlineLevel="0" collapsed="false">
      <c r="A58" s="4" t="n">
        <v>1009</v>
      </c>
      <c r="B58" s="4" t="str">
        <f aca="false" t="array" ref="B58:B58">INDEX(Productos!$A:B,MATCH($A58,Productos!$A:$A),COLUMN(B58))</f>
        <v>Filete de atún</v>
      </c>
      <c r="C58" s="4" t="n">
        <v>1</v>
      </c>
      <c r="F58" s="16"/>
      <c r="G58" s="16" t="n">
        <v>1006</v>
      </c>
      <c r="H58" s="16" t="s">
        <v>26</v>
      </c>
      <c r="I58" s="16" t="n">
        <v>7</v>
      </c>
    </row>
    <row r="59" customFormat="false" ht="13" hidden="false" customHeight="false" outlineLevel="0" collapsed="false">
      <c r="A59" s="0" t="n">
        <v>1009</v>
      </c>
      <c r="B59" s="4" t="str">
        <f aca="false" t="array" ref="B59:B59">INDEX(Productos!$A:B,MATCH($A59,Productos!$A:$A),COLUMN(B59))</f>
        <v>Filete de atún</v>
      </c>
      <c r="C59" s="0" t="n">
        <v>4</v>
      </c>
      <c r="F59" s="16"/>
      <c r="G59" s="16" t="n">
        <v>1007</v>
      </c>
      <c r="H59" s="16" t="s">
        <v>29</v>
      </c>
      <c r="I59" s="16" t="n">
        <v>6</v>
      </c>
    </row>
    <row r="60" customFormat="false" ht="13" hidden="false" customHeight="false" outlineLevel="0" collapsed="false">
      <c r="A60" s="4" t="n">
        <v>1009</v>
      </c>
      <c r="B60" s="4" t="str">
        <f aca="false" t="array" ref="B60:B60">INDEX(Productos!$A:B,MATCH($A60,Productos!$A:$A),COLUMN(B60))</f>
        <v>Filete de atún</v>
      </c>
      <c r="C60" s="4" t="n">
        <v>8</v>
      </c>
      <c r="F60" s="16"/>
      <c r="G60" s="16" t="n">
        <v>1007</v>
      </c>
      <c r="H60" s="16" t="s">
        <v>29</v>
      </c>
      <c r="I60" s="16" t="n">
        <v>11</v>
      </c>
    </row>
    <row r="61" customFormat="false" ht="13" hidden="false" customHeight="false" outlineLevel="0" collapsed="false">
      <c r="A61" s="4" t="n">
        <v>1009</v>
      </c>
      <c r="B61" s="4" t="str">
        <f aca="false" t="array" ref="B61:B61">INDEX(Productos!$A:B,MATCH($A61,Productos!$A:$A),COLUMN(B61))</f>
        <v>Filete de atún</v>
      </c>
      <c r="C61" s="4" t="n">
        <v>9</v>
      </c>
      <c r="F61" s="16"/>
      <c r="G61" s="16" t="n">
        <v>1007</v>
      </c>
      <c r="H61" s="16" t="s">
        <v>29</v>
      </c>
      <c r="I61" s="16" t="n">
        <v>13</v>
      </c>
    </row>
    <row r="62" customFormat="false" ht="13" hidden="false" customHeight="false" outlineLevel="0" collapsed="false">
      <c r="A62" s="0" t="n">
        <v>1009</v>
      </c>
      <c r="B62" s="4" t="str">
        <f aca="false" t="array" ref="B62:B62">INDEX(Productos!$A:B,MATCH($A62,Productos!$A:$A),COLUMN(B62))</f>
        <v>Filete de atún</v>
      </c>
      <c r="C62" s="0" t="n">
        <v>12</v>
      </c>
      <c r="F62" s="16"/>
      <c r="G62" s="16" t="n">
        <v>1008</v>
      </c>
      <c r="H62" s="16" t="s">
        <v>31</v>
      </c>
      <c r="I62" s="16" t="n">
        <v>1</v>
      </c>
    </row>
    <row r="63" customFormat="false" ht="13" hidden="false" customHeight="false" outlineLevel="0" collapsed="false">
      <c r="A63" s="0" t="n">
        <v>1009</v>
      </c>
      <c r="B63" s="4" t="str">
        <f aca="false" t="array" ref="B63:B63">INDEX(Productos!$A:B,MATCH($A63,Productos!$A:$A),COLUMN(B63))</f>
        <v>Filete de atún</v>
      </c>
      <c r="C63" s="0" t="n">
        <v>14</v>
      </c>
      <c r="F63" s="16"/>
      <c r="G63" s="16" t="n">
        <v>1008</v>
      </c>
      <c r="H63" s="16" t="s">
        <v>31</v>
      </c>
      <c r="I63" s="16" t="n">
        <v>5</v>
      </c>
    </row>
    <row r="64" customFormat="false" ht="13" hidden="false" customHeight="false" outlineLevel="0" collapsed="false">
      <c r="A64" s="0" t="n">
        <v>1010</v>
      </c>
      <c r="B64" s="4" t="str">
        <f aca="false" t="array" ref="B64:B64">INDEX(Productos!$A:B,MATCH($A64,Productos!$A:$A),COLUMN(B64))</f>
        <v>Palta</v>
      </c>
      <c r="C64" s="0" t="n">
        <v>1</v>
      </c>
      <c r="F64" s="16"/>
      <c r="G64" s="16" t="n">
        <v>1008</v>
      </c>
      <c r="H64" s="16" t="s">
        <v>31</v>
      </c>
      <c r="I64" s="16" t="n">
        <v>7</v>
      </c>
    </row>
    <row r="65" customFormat="false" ht="13" hidden="false" customHeight="false" outlineLevel="0" collapsed="false">
      <c r="A65" s="0" t="n">
        <v>1010</v>
      </c>
      <c r="B65" s="4" t="str">
        <f aca="false" t="array" ref="B65:B65">INDEX(Productos!$A:B,MATCH($A65,Productos!$A:$A),COLUMN(B65))</f>
        <v>Palta</v>
      </c>
      <c r="C65" s="16" t="n">
        <v>2</v>
      </c>
      <c r="F65" s="16"/>
      <c r="G65" s="16" t="n">
        <v>1009</v>
      </c>
      <c r="H65" s="16" t="s">
        <v>33</v>
      </c>
      <c r="I65" s="16" t="n">
        <v>1</v>
      </c>
    </row>
    <row r="66" customFormat="false" ht="13" hidden="false" customHeight="false" outlineLevel="0" collapsed="false">
      <c r="A66" s="4" t="n">
        <v>1010</v>
      </c>
      <c r="B66" s="4" t="str">
        <f aca="false" t="array" ref="B66:B66">INDEX(Productos!$A:B,MATCH($A66,Productos!$A:$A),COLUMN(B66))</f>
        <v>Palta</v>
      </c>
      <c r="C66" s="4" t="n">
        <v>3</v>
      </c>
      <c r="F66" s="16"/>
      <c r="G66" s="16" t="n">
        <v>1009</v>
      </c>
      <c r="H66" s="16" t="s">
        <v>33</v>
      </c>
      <c r="I66" s="16" t="n">
        <v>8</v>
      </c>
    </row>
    <row r="67" customFormat="false" ht="13" hidden="false" customHeight="false" outlineLevel="0" collapsed="false">
      <c r="A67" s="4" t="n">
        <v>1010</v>
      </c>
      <c r="B67" s="4" t="str">
        <f aca="false" t="array" ref="B67:B67">INDEX(Productos!$A:B,MATCH($A67,Productos!$A:$A),COLUMN(B67))</f>
        <v>Palta</v>
      </c>
      <c r="C67" s="4" t="n">
        <v>9</v>
      </c>
      <c r="F67" s="16"/>
      <c r="G67" s="16" t="n">
        <v>1009</v>
      </c>
      <c r="H67" s="16" t="s">
        <v>33</v>
      </c>
      <c r="I67" s="16" t="n">
        <v>9</v>
      </c>
    </row>
    <row r="68" customFormat="false" ht="13" hidden="false" customHeight="false" outlineLevel="0" collapsed="false">
      <c r="A68" s="0" t="n">
        <v>1010</v>
      </c>
      <c r="B68" s="4" t="str">
        <f aca="false" t="array" ref="B68:B68">INDEX(Productos!$A:B,MATCH($A68,Productos!$A:$A),COLUMN(B68))</f>
        <v>Palta</v>
      </c>
      <c r="C68" s="0" t="n">
        <v>10</v>
      </c>
      <c r="F68" s="16"/>
      <c r="G68" s="16" t="n">
        <v>1010</v>
      </c>
      <c r="H68" s="16" t="s">
        <v>35</v>
      </c>
      <c r="I68" s="16" t="n">
        <v>3</v>
      </c>
    </row>
    <row r="69" customFormat="false" ht="13" hidden="false" customHeight="false" outlineLevel="0" collapsed="false">
      <c r="A69" s="4" t="n">
        <v>1010</v>
      </c>
      <c r="B69" s="4" t="str">
        <f aca="false" t="array" ref="B69:B69">INDEX(Productos!$A:B,MATCH($A69,Productos!$A:$A),COLUMN(B69))</f>
        <v>Palta</v>
      </c>
      <c r="C69" s="4" t="n">
        <v>13</v>
      </c>
      <c r="F69" s="16"/>
      <c r="G69" s="16" t="n">
        <v>1010</v>
      </c>
      <c r="H69" s="16" t="s">
        <v>35</v>
      </c>
      <c r="I69" s="16" t="n">
        <v>9</v>
      </c>
    </row>
    <row r="70" customFormat="false" ht="13" hidden="false" customHeight="false" outlineLevel="0" collapsed="false">
      <c r="A70" s="4" t="n">
        <v>1011</v>
      </c>
      <c r="B70" s="4" t="str">
        <f aca="false" t="array" ref="B70:B70">INDEX(Productos!$A:B,MATCH($A70,Productos!$A:$A),COLUMN(B70))</f>
        <v>Sésamo</v>
      </c>
      <c r="C70" s="4" t="n">
        <v>2</v>
      </c>
      <c r="F70" s="16"/>
      <c r="G70" s="16" t="n">
        <v>1010</v>
      </c>
      <c r="H70" s="16" t="s">
        <v>35</v>
      </c>
      <c r="I70" s="16" t="n">
        <v>13</v>
      </c>
    </row>
    <row r="71" customFormat="false" ht="13" hidden="false" customHeight="false" outlineLevel="0" collapsed="false">
      <c r="A71" s="0" t="n">
        <v>1011</v>
      </c>
      <c r="B71" s="4" t="str">
        <f aca="false" t="array" ref="B71:B71">INDEX(Productos!$A:B,MATCH($A71,Productos!$A:$A),COLUMN(B71))</f>
        <v>Sésamo</v>
      </c>
      <c r="C71" s="0" t="n">
        <v>5</v>
      </c>
      <c r="F71" s="16"/>
      <c r="G71" s="16" t="n">
        <v>1011</v>
      </c>
      <c r="H71" s="16" t="s">
        <v>37</v>
      </c>
      <c r="I71" s="16" t="n">
        <v>2</v>
      </c>
    </row>
    <row r="72" customFormat="false" ht="13" hidden="false" customHeight="false" outlineLevel="0" collapsed="false">
      <c r="A72" s="0" t="n">
        <v>1011</v>
      </c>
      <c r="B72" s="4" t="str">
        <f aca="false" t="array" ref="B72:B72">INDEX(Productos!$A:B,MATCH($A72,Productos!$A:$A),COLUMN(B72))</f>
        <v>Sésamo</v>
      </c>
      <c r="C72" s="0" t="n">
        <v>7</v>
      </c>
      <c r="F72" s="16"/>
      <c r="G72" s="16" t="n">
        <v>1011</v>
      </c>
      <c r="H72" s="16" t="s">
        <v>37</v>
      </c>
      <c r="I72" s="16" t="n">
        <v>10</v>
      </c>
    </row>
    <row r="73" customFormat="false" ht="13" hidden="false" customHeight="false" outlineLevel="0" collapsed="false">
      <c r="A73" s="4" t="n">
        <v>1011</v>
      </c>
      <c r="B73" s="4" t="str">
        <f aca="false" t="array" ref="B73:B73">INDEX(Productos!$A:B,MATCH($A73,Productos!$A:$A),COLUMN(B73))</f>
        <v>Sésamo</v>
      </c>
      <c r="C73" s="4" t="n">
        <v>10</v>
      </c>
      <c r="F73" s="16"/>
      <c r="G73" s="16" t="n">
        <v>1011</v>
      </c>
      <c r="H73" s="16" t="s">
        <v>37</v>
      </c>
      <c r="I73" s="16" t="n">
        <v>11</v>
      </c>
    </row>
    <row r="74" customFormat="false" ht="13" hidden="false" customHeight="false" outlineLevel="0" collapsed="false">
      <c r="A74" s="4" t="n">
        <v>1011</v>
      </c>
      <c r="B74" s="4" t="str">
        <f aca="false" t="array" ref="B74:B74">INDEX(Productos!$A:B,MATCH($A74,Productos!$A:$A),COLUMN(B74))</f>
        <v>Sésamo</v>
      </c>
      <c r="C74" s="4" t="n">
        <v>11</v>
      </c>
      <c r="F74" s="16"/>
      <c r="G74" s="16" t="n">
        <v>1012</v>
      </c>
      <c r="H74" s="16" t="s">
        <v>39</v>
      </c>
      <c r="I74" s="16" t="n">
        <v>11</v>
      </c>
    </row>
    <row r="75" customFormat="false" ht="13" hidden="false" customHeight="false" outlineLevel="0" collapsed="false">
      <c r="A75" s="0" t="n">
        <v>1011</v>
      </c>
      <c r="B75" s="4" t="str">
        <f aca="false" t="array" ref="B75:B75">INDEX(Productos!$A:B,MATCH($A75,Productos!$A:$A),COLUMN(B75))</f>
        <v>Sésamo</v>
      </c>
      <c r="C75" s="0" t="n">
        <v>12</v>
      </c>
      <c r="F75" s="16"/>
      <c r="G75" s="16" t="n">
        <v>1012</v>
      </c>
      <c r="H75" s="16" t="s">
        <v>39</v>
      </c>
      <c r="I75" s="16" t="n">
        <v>12</v>
      </c>
    </row>
    <row r="76" customFormat="false" ht="13" hidden="false" customHeight="false" outlineLevel="0" collapsed="false">
      <c r="A76" s="0" t="n">
        <v>1012</v>
      </c>
      <c r="B76" s="4" t="str">
        <f aca="false" t="array" ref="B76:B76">INDEX(Productos!$A:B,MATCH($A76,Productos!$A:$A),COLUMN(B76))</f>
        <v>Queso crema</v>
      </c>
      <c r="C76" s="0" t="n">
        <v>2</v>
      </c>
      <c r="F76" s="16"/>
      <c r="G76" s="16" t="n">
        <v>1012</v>
      </c>
      <c r="H76" s="16" t="s">
        <v>39</v>
      </c>
      <c r="I76" s="16" t="n">
        <v>13</v>
      </c>
    </row>
    <row r="77" customFormat="false" ht="13" hidden="false" customHeight="false" outlineLevel="0" collapsed="false">
      <c r="A77" s="0" t="n">
        <v>1012</v>
      </c>
      <c r="B77" s="4" t="str">
        <f aca="false" t="array" ref="B77:B77">INDEX(Productos!$A:B,MATCH($A77,Productos!$A:$A),COLUMN(B77))</f>
        <v>Queso crema</v>
      </c>
      <c r="C77" s="16" t="n">
        <v>6</v>
      </c>
      <c r="F77" s="16"/>
      <c r="G77" s="16" t="n">
        <v>1013</v>
      </c>
      <c r="H77" s="16" t="s">
        <v>41</v>
      </c>
      <c r="I77" s="16" t="n">
        <v>10</v>
      </c>
    </row>
    <row r="78" customFormat="false" ht="13" hidden="false" customHeight="false" outlineLevel="0" collapsed="false">
      <c r="A78" s="4" t="n">
        <v>1012</v>
      </c>
      <c r="B78" s="4" t="str">
        <f aca="false" t="array" ref="B78:B78">INDEX(Productos!$A:B,MATCH($A78,Productos!$A:$A),COLUMN(B78))</f>
        <v>Queso crema</v>
      </c>
      <c r="C78" s="4" t="n">
        <v>11</v>
      </c>
      <c r="F78" s="16"/>
      <c r="G78" s="16" t="n">
        <v>1013</v>
      </c>
      <c r="H78" s="16" t="s">
        <v>41</v>
      </c>
      <c r="I78" s="16" t="n">
        <v>12</v>
      </c>
    </row>
    <row r="79" customFormat="false" ht="13" hidden="false" customHeight="false" outlineLevel="0" collapsed="false">
      <c r="A79" s="4" t="n">
        <v>1012</v>
      </c>
      <c r="B79" s="4" t="str">
        <f aca="false" t="array" ref="B79:B79">INDEX(Productos!$A:B,MATCH($A79,Productos!$A:$A),COLUMN(B79))</f>
        <v>Queso crema</v>
      </c>
      <c r="C79" s="4" t="n">
        <v>12</v>
      </c>
      <c r="F79" s="16"/>
      <c r="G79" s="16" t="n">
        <v>1013</v>
      </c>
      <c r="H79" s="16" t="s">
        <v>41</v>
      </c>
      <c r="I79" s="16" t="n">
        <v>14</v>
      </c>
    </row>
    <row r="80" customFormat="false" ht="13" hidden="false" customHeight="false" outlineLevel="0" collapsed="false">
      <c r="A80" s="4" t="n">
        <v>1012</v>
      </c>
      <c r="B80" s="4" t="str">
        <f aca="false" t="array" ref="B80:B80">INDEX(Productos!$A:B,MATCH($A80,Productos!$A:$A),COLUMN(B80))</f>
        <v>Queso crema</v>
      </c>
      <c r="C80" s="4" t="n">
        <v>13</v>
      </c>
      <c r="F80" s="16"/>
      <c r="G80" s="16" t="n">
        <v>1014</v>
      </c>
      <c r="H80" s="16" t="s">
        <v>43</v>
      </c>
      <c r="I80" s="16" t="n">
        <v>3</v>
      </c>
    </row>
    <row r="81" customFormat="false" ht="13" hidden="false" customHeight="false" outlineLevel="0" collapsed="false">
      <c r="A81" s="0" t="n">
        <v>1012</v>
      </c>
      <c r="B81" s="4" t="str">
        <f aca="false" t="array" ref="B81:B81">INDEX(Productos!$A:B,MATCH($A81,Productos!$A:$A),COLUMN(B81))</f>
        <v>Queso crema</v>
      </c>
      <c r="C81" s="0" t="n">
        <v>14</v>
      </c>
      <c r="F81" s="16"/>
      <c r="G81" s="16" t="n">
        <v>1014</v>
      </c>
      <c r="H81" s="16" t="s">
        <v>43</v>
      </c>
      <c r="I81" s="16" t="n">
        <v>4</v>
      </c>
    </row>
    <row r="82" customFormat="false" ht="13" hidden="false" customHeight="false" outlineLevel="0" collapsed="false">
      <c r="A82" s="0" t="n">
        <v>1013</v>
      </c>
      <c r="B82" s="4" t="str">
        <f aca="false" t="array" ref="B82:B82">INDEX(Productos!$A:B,MATCH($A82,Productos!$A:$A),COLUMN(B82))</f>
        <v>Masago</v>
      </c>
      <c r="C82" s="0" t="n">
        <v>7</v>
      </c>
      <c r="F82" s="16"/>
      <c r="G82" s="16" t="n">
        <v>1014</v>
      </c>
      <c r="H82" s="16" t="s">
        <v>43</v>
      </c>
      <c r="I82" s="16" t="n">
        <v>9</v>
      </c>
    </row>
    <row r="83" customFormat="false" ht="13" hidden="false" customHeight="false" outlineLevel="0" collapsed="false">
      <c r="A83" s="0" t="n">
        <v>1013</v>
      </c>
      <c r="B83" s="4" t="str">
        <f aca="false" t="array" ref="B83:B83">INDEX(Productos!$A:B,MATCH($A83,Productos!$A:$A),COLUMN(B83))</f>
        <v>Masago</v>
      </c>
      <c r="C83" s="0" t="n">
        <v>9</v>
      </c>
      <c r="F83" s="16"/>
      <c r="G83" s="16" t="n">
        <v>1015</v>
      </c>
      <c r="H83" s="16" t="s">
        <v>45</v>
      </c>
      <c r="I83" s="16" t="n">
        <v>1</v>
      </c>
    </row>
    <row r="84" customFormat="false" ht="13" hidden="false" customHeight="false" outlineLevel="0" collapsed="false">
      <c r="A84" s="4" t="n">
        <v>1013</v>
      </c>
      <c r="B84" s="4" t="str">
        <f aca="false" t="array" ref="B84:B84">INDEX(Productos!$A:B,MATCH($A84,Productos!$A:$A),COLUMN(B84))</f>
        <v>Masago</v>
      </c>
      <c r="C84" s="4" t="n">
        <v>10</v>
      </c>
      <c r="F84" s="16"/>
      <c r="G84" s="16" t="n">
        <v>1015</v>
      </c>
      <c r="H84" s="16" t="s">
        <v>45</v>
      </c>
      <c r="I84" s="16" t="n">
        <v>12</v>
      </c>
    </row>
    <row r="85" customFormat="false" ht="13" hidden="false" customHeight="false" outlineLevel="0" collapsed="false">
      <c r="A85" s="4" t="n">
        <v>1013</v>
      </c>
      <c r="B85" s="4" t="str">
        <f aca="false" t="array" ref="B85:B85">INDEX(Productos!$A:B,MATCH($A85,Productos!$A:$A),COLUMN(B85))</f>
        <v>Masago</v>
      </c>
      <c r="C85" s="4" t="n">
        <v>11</v>
      </c>
      <c r="F85" s="16"/>
      <c r="G85" s="16" t="n">
        <v>1015</v>
      </c>
      <c r="H85" s="16" t="s">
        <v>45</v>
      </c>
      <c r="I85" s="16" t="n">
        <v>14</v>
      </c>
    </row>
    <row r="86" customFormat="false" ht="13" hidden="false" customHeight="false" outlineLevel="0" collapsed="false">
      <c r="A86" s="0" t="n">
        <v>1013</v>
      </c>
      <c r="B86" s="4" t="str">
        <f aca="false" t="array" ref="B86:B86">INDEX(Productos!$A:B,MATCH($A86,Productos!$A:$A),COLUMN(B86))</f>
        <v>Masago</v>
      </c>
      <c r="C86" s="0" t="n">
        <v>13</v>
      </c>
    </row>
    <row r="87" customFormat="false" ht="13" hidden="false" customHeight="false" outlineLevel="0" collapsed="false">
      <c r="A87" s="4" t="n">
        <v>1013</v>
      </c>
      <c r="B87" s="4" t="str">
        <f aca="false" t="array" ref="B87:B87">INDEX(Productos!$A:B,MATCH($A87,Productos!$A:$A),COLUMN(B87))</f>
        <v>Masago</v>
      </c>
      <c r="C87" s="4" t="n">
        <v>14</v>
      </c>
    </row>
    <row r="88" customFormat="false" ht="13" hidden="false" customHeight="false" outlineLevel="0" collapsed="false">
      <c r="A88" s="0" t="n">
        <v>1014</v>
      </c>
      <c r="B88" s="4" t="str">
        <f aca="false" t="array" ref="B88:B88">INDEX(Productos!$A:B,MATCH($A88,Productos!$A:$A),COLUMN(B88))</f>
        <v>Cebollín entero</v>
      </c>
      <c r="C88" s="0" t="n">
        <v>2</v>
      </c>
    </row>
    <row r="89" customFormat="false" ht="13" hidden="false" customHeight="false" outlineLevel="0" collapsed="false">
      <c r="A89" s="4" t="n">
        <v>1014</v>
      </c>
      <c r="B89" s="4" t="str">
        <f aca="false" t="array" ref="B89:B89">INDEX(Productos!$A:B,MATCH($A89,Productos!$A:$A),COLUMN(B89))</f>
        <v>Cebollín entero</v>
      </c>
      <c r="C89" s="4" t="n">
        <v>3</v>
      </c>
    </row>
    <row r="90" customFormat="false" ht="13" hidden="false" customHeight="false" outlineLevel="0" collapsed="false">
      <c r="A90" s="4" t="n">
        <v>1014</v>
      </c>
      <c r="B90" s="4" t="str">
        <f aca="false" t="array" ref="B90:B90">INDEX(Productos!$A:B,MATCH($A90,Productos!$A:$A),COLUMN(B90))</f>
        <v>Cebollín entero</v>
      </c>
      <c r="C90" s="4" t="n">
        <v>4</v>
      </c>
    </row>
    <row r="91" customFormat="false" ht="13" hidden="false" customHeight="false" outlineLevel="0" collapsed="false">
      <c r="A91" s="4" t="n">
        <v>1014</v>
      </c>
      <c r="B91" s="4" t="str">
        <f aca="false" t="array" ref="B91:B91">INDEX(Productos!$A:B,MATCH($A91,Productos!$A:$A),COLUMN(B91))</f>
        <v>Cebollín entero</v>
      </c>
      <c r="C91" s="4" t="n">
        <v>5</v>
      </c>
    </row>
    <row r="92" customFormat="false" ht="13" hidden="false" customHeight="false" outlineLevel="0" collapsed="false">
      <c r="A92" s="0" t="n">
        <v>1014</v>
      </c>
      <c r="B92" s="4" t="str">
        <f aca="false" t="array" ref="B92:B92">INDEX(Productos!$A:B,MATCH($A92,Productos!$A:$A),COLUMN(B92))</f>
        <v>Cebollín entero</v>
      </c>
      <c r="C92" s="0" t="n">
        <v>8</v>
      </c>
    </row>
    <row r="93" customFormat="false" ht="13" hidden="false" customHeight="false" outlineLevel="0" collapsed="false">
      <c r="A93" s="0" t="n">
        <v>1014</v>
      </c>
      <c r="B93" s="4" t="str">
        <f aca="false" t="array" ref="B93:B93">INDEX(Productos!$A:B,MATCH($A93,Productos!$A:$A),COLUMN(B93))</f>
        <v>Cebollín entero</v>
      </c>
      <c r="C93" s="0" t="n">
        <v>11</v>
      </c>
    </row>
    <row r="94" customFormat="false" ht="13" hidden="false" customHeight="false" outlineLevel="0" collapsed="false">
      <c r="A94" s="4" t="n">
        <v>1015</v>
      </c>
      <c r="B94" s="4" t="str">
        <f aca="false" t="array" ref="B94:B94">INDEX(Productos!$A:B,MATCH($A94,Productos!$A:$A),COLUMN(B94))</f>
        <v>Ciboulette entero</v>
      </c>
      <c r="C94" s="4" t="n">
        <v>1</v>
      </c>
    </row>
    <row r="95" customFormat="false" ht="13" hidden="false" customHeight="false" outlineLevel="0" collapsed="false">
      <c r="A95" s="0" t="n">
        <v>1015</v>
      </c>
      <c r="B95" s="4" t="str">
        <f aca="false" t="array" ref="B95:B95">INDEX(Productos!$A:B,MATCH($A95,Productos!$A:$A),COLUMN(B95))</f>
        <v>Ciboulette entero</v>
      </c>
      <c r="C95" s="0" t="n">
        <v>3</v>
      </c>
    </row>
    <row r="96" customFormat="false" ht="13" hidden="false" customHeight="false" outlineLevel="0" collapsed="false">
      <c r="A96" s="0" t="n">
        <v>1015</v>
      </c>
      <c r="B96" s="4" t="str">
        <f aca="false" t="array" ref="B96:B96">INDEX(Productos!$A:B,MATCH($A96,Productos!$A:$A),COLUMN(B96))</f>
        <v>Ciboulette entero</v>
      </c>
      <c r="C96" s="0" t="n">
        <v>4</v>
      </c>
    </row>
    <row r="97" customFormat="false" ht="13" hidden="false" customHeight="false" outlineLevel="0" collapsed="false">
      <c r="A97" s="0" t="n">
        <v>1015</v>
      </c>
      <c r="B97" s="4" t="str">
        <f aca="false" t="array" ref="B97:B97">INDEX(Productos!$A:B,MATCH($A97,Productos!$A:$A),COLUMN(B97))</f>
        <v>Ciboulette entero</v>
      </c>
      <c r="C97" s="16" t="n">
        <v>6</v>
      </c>
    </row>
    <row r="98" customFormat="false" ht="13" hidden="false" customHeight="false" outlineLevel="0" collapsed="false">
      <c r="A98" s="4" t="n">
        <v>1015</v>
      </c>
      <c r="B98" s="4" t="str">
        <f aca="false" t="array" ref="B98:B98">INDEX(Productos!$A:B,MATCH($A98,Productos!$A:$A),COLUMN(B98))</f>
        <v>Ciboulette entero</v>
      </c>
      <c r="C98" s="4" t="n">
        <v>12</v>
      </c>
    </row>
    <row r="99" customFormat="false" ht="13" hidden="false" customHeight="false" outlineLevel="0" collapsed="false">
      <c r="A99" s="4" t="n">
        <v>1015</v>
      </c>
      <c r="B99" s="4" t="str">
        <f aca="false" t="array" ref="B99:B99">INDEX(Productos!$A:B,MATCH($A99,Productos!$A:$A),COLUMN(B99))</f>
        <v>Ciboulette entero</v>
      </c>
      <c r="C99" s="4" t="n">
        <v>14</v>
      </c>
    </row>
    <row r="100" customFormat="false" ht="13" hidden="false" customHeight="false" outlineLevel="0" collapsed="false">
      <c r="A100" s="4" t="n">
        <v>1016</v>
      </c>
      <c r="B100" s="4" t="str">
        <f aca="false" t="array" ref="B100:B100">INDEX(Productos!$A:B,MATCH($A100,Productos!$A:$A),COLUMN(B100))</f>
        <v>Nori entero</v>
      </c>
      <c r="C100" s="4" t="n">
        <v>1</v>
      </c>
    </row>
    <row r="101" customFormat="false" ht="13" hidden="false" customHeight="false" outlineLevel="0" collapsed="false">
      <c r="A101" s="4" t="n">
        <v>1016</v>
      </c>
      <c r="B101" s="4" t="str">
        <f aca="false" t="array" ref="B101:B101">INDEX(Productos!$A:B,MATCH($A101,Productos!$A:$A),COLUMN(B101))</f>
        <v>Nori entero</v>
      </c>
      <c r="C101" s="4" t="n">
        <v>2</v>
      </c>
    </row>
    <row r="102" customFormat="false" ht="13" hidden="false" customHeight="false" outlineLevel="0" collapsed="false">
      <c r="A102" s="4" t="n">
        <v>1016</v>
      </c>
      <c r="B102" s="4" t="str">
        <f aca="false" t="array" ref="B102:B102">INDEX(Productos!$A:B,MATCH($A102,Productos!$A:$A),COLUMN(B102))</f>
        <v>Nori entero</v>
      </c>
      <c r="C102" s="4" t="n">
        <v>3</v>
      </c>
    </row>
    <row r="103" customFormat="false" ht="13" hidden="false" customHeight="false" outlineLevel="0" collapsed="false">
      <c r="A103" s="4" t="n">
        <v>1016</v>
      </c>
      <c r="B103" s="4" t="str">
        <f aca="false" t="array" ref="B103:B103">INDEX(Productos!$A:B,MATCH($A103,Productos!$A:$A),COLUMN(B103))</f>
        <v>Nori entero</v>
      </c>
      <c r="C103" s="4" t="n">
        <v>4</v>
      </c>
    </row>
    <row r="104" customFormat="false" ht="13" hidden="false" customHeight="false" outlineLevel="0" collapsed="false">
      <c r="A104" s="4" t="n">
        <v>1016</v>
      </c>
      <c r="B104" s="4" t="str">
        <f aca="false" t="array" ref="B104:B104">INDEX(Productos!$A:B,MATCH($A104,Productos!$A:$A),COLUMN(B104))</f>
        <v>Nori entero</v>
      </c>
      <c r="C104" s="4" t="n">
        <v>5</v>
      </c>
    </row>
    <row r="105" customFormat="false" ht="13" hidden="false" customHeight="false" outlineLevel="0" collapsed="false">
      <c r="A105" s="4" t="n">
        <v>1016</v>
      </c>
      <c r="B105" s="4" t="str">
        <f aca="false" t="array" ref="B105:B105">INDEX(Productos!$A:B,MATCH($A105,Productos!$A:$A),COLUMN(B105))</f>
        <v>Nori entero</v>
      </c>
      <c r="C105" s="4" t="n">
        <v>6</v>
      </c>
    </row>
    <row r="106" customFormat="false" ht="13" hidden="false" customHeight="false" outlineLevel="0" collapsed="false">
      <c r="A106" s="4" t="n">
        <v>1016</v>
      </c>
      <c r="B106" s="4" t="str">
        <f aca="false" t="array" ref="B106:B106">INDEX(Productos!$A:B,MATCH($A106,Productos!$A:$A),COLUMN(B106))</f>
        <v>Nori entero</v>
      </c>
      <c r="C106" s="4" t="n">
        <v>7</v>
      </c>
    </row>
    <row r="107" customFormat="false" ht="13" hidden="false" customHeight="false" outlineLevel="0" collapsed="false">
      <c r="A107" s="4" t="n">
        <v>1016</v>
      </c>
      <c r="B107" s="4" t="str">
        <f aca="false" t="array" ref="B107:B107">INDEX(Productos!$A:B,MATCH($A107,Productos!$A:$A),COLUMN(B107))</f>
        <v>Nori entero</v>
      </c>
      <c r="C107" s="4" t="n">
        <v>8</v>
      </c>
    </row>
    <row r="108" customFormat="false" ht="13" hidden="false" customHeight="false" outlineLevel="0" collapsed="false">
      <c r="A108" s="4" t="n">
        <v>1016</v>
      </c>
      <c r="B108" s="4" t="str">
        <f aca="false" t="array" ref="B108:B108">INDEX(Productos!$A:B,MATCH($A108,Productos!$A:$A),COLUMN(B108))</f>
        <v>Nori entero</v>
      </c>
      <c r="C108" s="4" t="n">
        <v>9</v>
      </c>
    </row>
    <row r="109" customFormat="false" ht="13" hidden="false" customHeight="false" outlineLevel="0" collapsed="false">
      <c r="A109" s="4" t="n">
        <v>1016</v>
      </c>
      <c r="B109" s="4" t="str">
        <f aca="false" t="array" ref="B109:B109">INDEX(Productos!$A:B,MATCH($A109,Productos!$A:$A),COLUMN(B109))</f>
        <v>Nori entero</v>
      </c>
      <c r="C109" s="4" t="n">
        <v>10</v>
      </c>
    </row>
    <row r="110" customFormat="false" ht="13" hidden="false" customHeight="false" outlineLevel="0" collapsed="false">
      <c r="A110" s="4" t="n">
        <v>1016</v>
      </c>
      <c r="B110" s="4" t="str">
        <f aca="false" t="array" ref="B110:B110">INDEX(Productos!$A:B,MATCH($A110,Productos!$A:$A),COLUMN(B110))</f>
        <v>Nori entero</v>
      </c>
      <c r="C110" s="4" t="n">
        <v>11</v>
      </c>
    </row>
    <row r="111" customFormat="false" ht="13" hidden="false" customHeight="false" outlineLevel="0" collapsed="false">
      <c r="A111" s="4" t="n">
        <v>1016</v>
      </c>
      <c r="B111" s="4" t="str">
        <f aca="false" t="array" ref="B111:B111">INDEX(Productos!$A:B,MATCH($A111,Productos!$A:$A),COLUMN(B111))</f>
        <v>Nori entero</v>
      </c>
      <c r="C111" s="4" t="n">
        <v>12</v>
      </c>
    </row>
    <row r="112" customFormat="false" ht="13" hidden="false" customHeight="false" outlineLevel="0" collapsed="false">
      <c r="A112" s="4" t="n">
        <v>1016</v>
      </c>
      <c r="B112" s="4" t="str">
        <f aca="false" t="array" ref="B112:B112">INDEX(Productos!$A:B,MATCH($A112,Productos!$A:$A),COLUMN(B112))</f>
        <v>Nori entero</v>
      </c>
      <c r="C112" s="4" t="n">
        <v>13</v>
      </c>
    </row>
    <row r="113" customFormat="false" ht="13" hidden="false" customHeight="false" outlineLevel="0" collapsed="false">
      <c r="A113" s="4" t="n">
        <v>1016</v>
      </c>
      <c r="B113" s="4" t="str">
        <f aca="false" t="array" ref="B113:B113">INDEX(Productos!$A:B,MATCH($A113,Productos!$A:$A),COLUMN(B113))</f>
        <v>Nori entero</v>
      </c>
      <c r="C113" s="4" t="n">
        <v>14</v>
      </c>
    </row>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sheetData>
  <autoFilter ref="A1:C11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sheetPr filterMode="false">
    <pageSetUpPr fitToPage="false"/>
  </sheetPr>
  <dimension ref="A1:Z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RowHeight="15.75" zeroHeight="false" outlineLevelRow="0" outlineLevelCol="0"/>
  <cols>
    <col collapsed="false" customWidth="true" hidden="false" outlineLevel="0" max="1" min="1" style="0" width="7.67"/>
    <col collapsed="false" customWidth="true" hidden="false" outlineLevel="0" max="2" min="2" style="0" width="32.34"/>
    <col collapsed="false" customWidth="true" hidden="false" outlineLevel="0" max="3" min="3" style="0" width="14.5"/>
    <col collapsed="false" customWidth="true" hidden="false" outlineLevel="0" max="4" min="4" style="0" width="16.49"/>
    <col collapsed="false" customWidth="true" hidden="false" outlineLevel="0" max="5" min="5" style="0" width="14.5"/>
    <col collapsed="false" customWidth="true" hidden="false" outlineLevel="0" max="6" min="6" style="0" width="22.83"/>
    <col collapsed="false" customWidth="true" hidden="false" outlineLevel="0" max="1025" min="7" style="0" width="14.5"/>
  </cols>
  <sheetData>
    <row r="1" customFormat="false" ht="48" hidden="false" customHeight="true" outlineLevel="0" collapsed="false">
      <c r="A1" s="10" t="s">
        <v>0</v>
      </c>
      <c r="B1" s="10" t="s">
        <v>1</v>
      </c>
      <c r="C1" s="10" t="s">
        <v>192</v>
      </c>
      <c r="D1" s="10" t="s">
        <v>193</v>
      </c>
      <c r="E1" s="10" t="s">
        <v>5</v>
      </c>
      <c r="F1" s="10" t="s">
        <v>176</v>
      </c>
      <c r="G1" s="10" t="s">
        <v>194</v>
      </c>
      <c r="H1" s="10"/>
      <c r="I1" s="10"/>
      <c r="J1" s="10"/>
      <c r="K1" s="10"/>
      <c r="L1" s="10"/>
      <c r="M1" s="10"/>
      <c r="N1" s="10"/>
      <c r="O1" s="10"/>
      <c r="P1" s="10"/>
      <c r="Q1" s="10"/>
      <c r="R1" s="10"/>
      <c r="S1" s="10"/>
      <c r="T1" s="10"/>
      <c r="U1" s="10"/>
      <c r="V1" s="10"/>
      <c r="W1" s="10"/>
      <c r="X1" s="10"/>
      <c r="Y1" s="10"/>
      <c r="Z1" s="10"/>
    </row>
    <row r="2" customFormat="false" ht="15.75" hidden="false" customHeight="true" outlineLevel="0" collapsed="false">
      <c r="A2" s="4" t="n">
        <v>1301</v>
      </c>
      <c r="B2" s="4" t="str">
        <f aca="false" t="array" ref="B2:B2">INDEX(Productos!$A:B,MATCH($A2,Productos!$A:$A),COLUMN(B2))</f>
        <v>Arroz cocido para nigiri</v>
      </c>
      <c r="C2" s="13" t="n">
        <f aca="false">IFERROR(__xludf.dummyfunction("COUNTUNIQUE(filter(Ingredientes!A:A,Ingredientes!C:C=A2))"),5)</f>
        <v>5</v>
      </c>
      <c r="D2" s="13" t="n">
        <f aca="false">IFERROR(__xludf.dummyfunction("SUM(filter(Ingredientes!E:E,Ingredientes!C:C=A2))*10/filter(Productos!I:I,Productos!A:A=A2)"),50)</f>
        <v>50</v>
      </c>
      <c r="E2" s="13" t="n">
        <f aca="false">IFERROR(__xludf.dummyfunction("COUNT(FILTER(Ingredientes!A:A,Ingredientes!A:A=A2))"),1)</f>
        <v>1</v>
      </c>
      <c r="F2" s="4" t="str">
        <f aca="false">IFERROR(__xludf.dummyfunction("TRANSPOSE(IFERROR((FILTER(Ingredientes!D:D,A2=Ingredientes!A:A))))"),"Arroz cocido")</f>
        <v>Arroz cocido</v>
      </c>
      <c r="G2" s="4" t="n">
        <f aca="false">IFERROR(__xludf.dummyfunction("TRANSPOSE(IFERROR((FILTER(Ingredientes!C:C,A2=Ingredientes!A:A))))"),1101)</f>
        <v>1101</v>
      </c>
      <c r="H2" s="13"/>
      <c r="I2" s="13"/>
      <c r="J2" s="13"/>
      <c r="K2" s="13"/>
      <c r="L2" s="13"/>
      <c r="M2" s="13"/>
      <c r="N2" s="13"/>
      <c r="O2" s="13"/>
      <c r="P2" s="13"/>
      <c r="Q2" s="13"/>
      <c r="R2" s="13"/>
      <c r="S2" s="13"/>
      <c r="T2" s="13"/>
      <c r="U2" s="13"/>
      <c r="V2" s="13"/>
      <c r="W2" s="13"/>
      <c r="X2" s="13"/>
      <c r="Y2" s="13"/>
      <c r="Z2" s="13"/>
    </row>
    <row r="3" customFormat="false" ht="15.75" hidden="false" customHeight="true" outlineLevel="0" collapsed="false">
      <c r="A3" s="4" t="n">
        <v>1201</v>
      </c>
      <c r="B3" s="4" t="str">
        <f aca="false" t="array" ref="B3:B3">INDEX(Productos!$A:B,MATCH($A3,Productos!$A:$A),COLUMN(B3))</f>
        <v>Arroz cocido para roll</v>
      </c>
      <c r="C3" s="13" t="n">
        <f aca="false">IFERROR(__xludf.dummyfunction("COUNTUNIQUE(filter(Ingredientes!A:A,Ingredientes!C:C=A3))"),25)</f>
        <v>25</v>
      </c>
      <c r="D3" s="13" t="n">
        <f aca="false">IFERROR(__xludf.dummyfunction("SUM(filter(Ingredientes!E:E,Ingredientes!C:C=A3))*10/filter(Productos!I:I,Productos!A:A=A3)"),250)</f>
        <v>250</v>
      </c>
      <c r="E3" s="13" t="n">
        <f aca="false">IFERROR(__xludf.dummyfunction("COUNT(FILTER(Ingredientes!A:A,Ingredientes!A:A=A3))"),1)</f>
        <v>1</v>
      </c>
      <c r="F3" s="4" t="str">
        <f aca="false">IFERROR(__xludf.dummyfunction("TRANSPOSE(IFERROR((FILTER(Ingredientes!D:D,A3=Ingredientes!A:A))))"),"Arroz cocido")</f>
        <v>Arroz cocido</v>
      </c>
      <c r="G3" s="4" t="n">
        <f aca="false">IFERROR(__xludf.dummyfunction("TRANSPOSE(IFERROR((FILTER(Ingredientes!C:C,A3=Ingredientes!A:A))))"),1101)</f>
        <v>1101</v>
      </c>
      <c r="H3" s="13"/>
      <c r="I3" s="13"/>
      <c r="J3" s="13"/>
      <c r="K3" s="13"/>
      <c r="L3" s="13"/>
      <c r="M3" s="13"/>
      <c r="N3" s="13"/>
      <c r="O3" s="13"/>
      <c r="P3" s="13"/>
      <c r="Q3" s="13"/>
      <c r="R3" s="13"/>
      <c r="S3" s="13"/>
      <c r="T3" s="13"/>
      <c r="U3" s="13"/>
      <c r="V3" s="13"/>
      <c r="W3" s="13"/>
      <c r="X3" s="13"/>
      <c r="Y3" s="13"/>
      <c r="Z3" s="13"/>
    </row>
    <row r="4" customFormat="false" ht="15.75" hidden="false" customHeight="true" outlineLevel="0" collapsed="false">
      <c r="A4" s="4" t="n">
        <v>1209</v>
      </c>
      <c r="B4" s="4" t="str">
        <f aca="false" t="array" ref="B4:B4">INDEX(Productos!$A:B,MATCH($A4,Productos!$A:$A),COLUMN(B4))</f>
        <v>Atún cortado para nigiri</v>
      </c>
      <c r="C4" s="13" t="n">
        <f aca="false">IFERROR(__xludf.dummyfunction("COUNTUNIQUE(filter(Ingredientes!A:A,Ingredientes!C:C=A4))"),2)</f>
        <v>2</v>
      </c>
      <c r="D4" s="13" t="n">
        <f aca="false">IFERROR(__xludf.dummyfunction("SUM(filter(Ingredientes!E:E,Ingredientes!C:C=A4))*10/filter(Productos!I:I,Productos!A:A=A4)"),20)</f>
        <v>20</v>
      </c>
      <c r="E4" s="13" t="n">
        <f aca="false">IFERROR(__xludf.dummyfunction("COUNT(FILTER(Ingredientes!A:A,Ingredientes!A:A=A4))"),1)</f>
        <v>1</v>
      </c>
      <c r="F4" s="4" t="str">
        <f aca="false">IFERROR(__xludf.dummyfunction("TRANSPOSE(IFERROR((FILTER(Ingredientes!D:D,A4=Ingredientes!A:A))))"),"Filete de atún")</f>
        <v>Filete de atún</v>
      </c>
      <c r="G4" s="4" t="n">
        <f aca="false">IFERROR(__xludf.dummyfunction("TRANSPOSE(IFERROR((FILTER(Ingredientes!C:C,A4=Ingredientes!A:A))))"),1009)</f>
        <v>1009</v>
      </c>
      <c r="H4" s="13"/>
      <c r="I4" s="13"/>
      <c r="J4" s="13"/>
      <c r="K4" s="13"/>
      <c r="L4" s="13"/>
      <c r="M4" s="13"/>
      <c r="N4" s="13"/>
      <c r="O4" s="13"/>
      <c r="P4" s="13"/>
      <c r="Q4" s="13"/>
      <c r="R4" s="13"/>
      <c r="S4" s="13"/>
      <c r="T4" s="13"/>
      <c r="U4" s="13"/>
      <c r="V4" s="13"/>
      <c r="W4" s="13"/>
      <c r="X4" s="13"/>
      <c r="Y4" s="13"/>
      <c r="Z4" s="13"/>
    </row>
    <row r="5" customFormat="false" ht="15.75" hidden="false" customHeight="true" outlineLevel="0" collapsed="false">
      <c r="A5" s="4" t="n">
        <v>1109</v>
      </c>
      <c r="B5" s="4" t="str">
        <f aca="false" t="array" ref="B5:B5">INDEX(Productos!$A:B,MATCH($A5,Productos!$A:$A),COLUMN(B5))</f>
        <v>Atún cortado para roll</v>
      </c>
      <c r="C5" s="13" t="n">
        <f aca="false">IFERROR(__xludf.dummyfunction("COUNTUNIQUE(filter(Ingredientes!A:A,Ingredientes!C:C=A5))"),5)</f>
        <v>5</v>
      </c>
      <c r="D5" s="13" t="n">
        <f aca="false">IFERROR(__xludf.dummyfunction("SUM(filter(Ingredientes!E:E,Ingredientes!C:C=A5))*10/filter(Productos!I:I,Productos!A:A=A5)"),50)</f>
        <v>50</v>
      </c>
      <c r="E5" s="13" t="n">
        <f aca="false">IFERROR(__xludf.dummyfunction("COUNT(FILTER(Ingredientes!A:A,Ingredientes!A:A=A5))"),1)</f>
        <v>1</v>
      </c>
      <c r="F5" s="4" t="str">
        <f aca="false">IFERROR(__xludf.dummyfunction("TRANSPOSE(IFERROR((FILTER(Ingredientes!D:D,A5=Ingredientes!A:A))))"),"Filete de atún")</f>
        <v>Filete de atún</v>
      </c>
      <c r="G5" s="4" t="n">
        <f aca="false">IFERROR(__xludf.dummyfunction("TRANSPOSE(IFERROR((FILTER(Ingredientes!C:C,A5=Ingredientes!A:A))))"),1009)</f>
        <v>1009</v>
      </c>
      <c r="H5" s="13"/>
      <c r="I5" s="13"/>
      <c r="J5" s="13"/>
      <c r="K5" s="13"/>
      <c r="L5" s="13"/>
      <c r="M5" s="13"/>
      <c r="N5" s="13"/>
      <c r="O5" s="13"/>
      <c r="P5" s="13"/>
      <c r="Q5" s="13"/>
      <c r="R5" s="13"/>
      <c r="S5" s="13"/>
      <c r="T5" s="13"/>
      <c r="U5" s="13"/>
      <c r="V5" s="13"/>
      <c r="W5" s="13"/>
      <c r="X5" s="13"/>
      <c r="Y5" s="13"/>
      <c r="Z5" s="13"/>
    </row>
    <row r="6" customFormat="false" ht="15.75" hidden="false" customHeight="true" outlineLevel="0" collapsed="false">
      <c r="A6" s="4" t="n">
        <v>1309</v>
      </c>
      <c r="B6" s="4" t="str">
        <f aca="false" t="array" ref="B6:B6">INDEX(Productos!$A:B,MATCH($A6,Productos!$A:$A),COLUMN(B6))</f>
        <v>Atún cortado para sashimi</v>
      </c>
      <c r="C6" s="13" t="n">
        <f aca="false">IFERROR(__xludf.dummyfunction("COUNTUNIQUE(filter(Ingredientes!A:A,Ingredientes!C:C=A6))"),5)</f>
        <v>5</v>
      </c>
      <c r="D6" s="13" t="n">
        <f aca="false">IFERROR(__xludf.dummyfunction("SUM(filter(Ingredientes!E:E,Ingredientes!C:C=A6))*10/filter(Productos!I:I,Productos!A:A=A6)"),170)</f>
        <v>170</v>
      </c>
      <c r="E6" s="13" t="n">
        <f aca="false">IFERROR(__xludf.dummyfunction("COUNT(FILTER(Ingredientes!A:A,Ingredientes!A:A=A6))"),1)</f>
        <v>1</v>
      </c>
      <c r="F6" s="4" t="str">
        <f aca="false">IFERROR(__xludf.dummyfunction("TRANSPOSE(IFERROR((FILTER(Ingredientes!D:D,A6=Ingredientes!A:A))))"),"Filete de atún")</f>
        <v>Filete de atún</v>
      </c>
      <c r="G6" s="4" t="n">
        <f aca="false">IFERROR(__xludf.dummyfunction("TRANSPOSE(IFERROR((FILTER(Ingredientes!C:C,A6=Ingredientes!A:A))))"),1009)</f>
        <v>1009</v>
      </c>
      <c r="H6" s="13"/>
      <c r="I6" s="13"/>
      <c r="J6" s="13"/>
      <c r="K6" s="13"/>
      <c r="L6" s="13"/>
      <c r="M6" s="13"/>
      <c r="N6" s="13"/>
      <c r="O6" s="13"/>
      <c r="P6" s="13"/>
      <c r="Q6" s="13"/>
      <c r="R6" s="13"/>
      <c r="S6" s="13"/>
      <c r="T6" s="13"/>
      <c r="U6" s="13"/>
      <c r="V6" s="13"/>
      <c r="W6" s="13"/>
      <c r="X6" s="13"/>
      <c r="Y6" s="13"/>
      <c r="Z6" s="13"/>
    </row>
    <row r="7" customFormat="false" ht="15.75" hidden="false" customHeight="true" outlineLevel="0" collapsed="false">
      <c r="A7" s="4" t="n">
        <v>1106</v>
      </c>
      <c r="B7" s="4" t="str">
        <f aca="false" t="array" ref="B7:B7">INDEX(Productos!$A:B,MATCH($A7,Productos!$A:$A),COLUMN(B7))</f>
        <v>Camarón cocido</v>
      </c>
      <c r="C7" s="13" t="n">
        <f aca="false">IFERROR(__xludf.dummyfunction("COUNTUNIQUE(filter(Ingredientes!A:A,Ingredientes!C:C=A7))"),10)</f>
        <v>10</v>
      </c>
      <c r="D7" s="13" t="n">
        <v>250</v>
      </c>
      <c r="E7" s="13" t="n">
        <f aca="false">IFERROR(__xludf.dummyfunction("COUNT(FILTER(Ingredientes!A:A,Ingredientes!A:A=A7))"),1)</f>
        <v>1</v>
      </c>
      <c r="F7" s="4" t="str">
        <f aca="false">IFERROR(__xludf.dummyfunction("TRANSPOSE(IFERROR((FILTER(Ingredientes!D:D,A7=Ingredientes!A:A))))"),"Camarón")</f>
        <v>Camarón</v>
      </c>
      <c r="G7" s="4" t="n">
        <f aca="false">IFERROR(__xludf.dummyfunction("TRANSPOSE(IFERROR((FILTER(Ingredientes!C:C,A7=Ingredientes!A:A))))"),1006)</f>
        <v>1006</v>
      </c>
      <c r="H7" s="13"/>
      <c r="I7" s="13"/>
      <c r="J7" s="13"/>
      <c r="K7" s="13"/>
      <c r="L7" s="13"/>
      <c r="M7" s="13"/>
      <c r="N7" s="13"/>
      <c r="O7" s="13"/>
      <c r="P7" s="13"/>
      <c r="Q7" s="13"/>
      <c r="R7" s="13"/>
      <c r="S7" s="13"/>
      <c r="T7" s="13"/>
      <c r="U7" s="13"/>
      <c r="V7" s="13"/>
      <c r="W7" s="13"/>
      <c r="X7" s="13"/>
      <c r="Y7" s="13"/>
      <c r="Z7" s="13"/>
    </row>
    <row r="8" customFormat="false" ht="15.75" hidden="false" customHeight="true" outlineLevel="0" collapsed="false">
      <c r="A8" s="4" t="n">
        <v>1114</v>
      </c>
      <c r="B8" s="4" t="str">
        <f aca="false" t="array" ref="B8:B8">INDEX(Productos!$A:B,MATCH($A8,Productos!$A:$A),COLUMN(B8))</f>
        <v>Cebollín cortado para roll</v>
      </c>
      <c r="C8" s="13" t="n">
        <f aca="false">IFERROR(__xludf.dummyfunction("COUNTUNIQUE(filter(Ingredientes!A:A,Ingredientes!C:C=A8))"),5)</f>
        <v>5</v>
      </c>
      <c r="D8" s="13" t="n">
        <f aca="false">IFERROR(__xludf.dummyfunction("SUM(filter(Ingredientes!E:E,Ingredientes!C:C=A8))*10/filter(Productos!I:I,Productos!A:A=A8)"),50)</f>
        <v>50</v>
      </c>
      <c r="E8" s="13" t="n">
        <f aca="false">IFERROR(__xludf.dummyfunction("COUNT(FILTER(Ingredientes!A:A,Ingredientes!A:A=A8))"),1)</f>
        <v>1</v>
      </c>
      <c r="F8" s="4" t="str">
        <f aca="false">IFERROR(__xludf.dummyfunction("TRANSPOSE(IFERROR((FILTER(Ingredientes!D:D,A8=Ingredientes!A:A))))"),"Cebollín entero")</f>
        <v>Cebollín entero</v>
      </c>
      <c r="G8" s="4" t="n">
        <f aca="false">IFERROR(__xludf.dummyfunction("TRANSPOSE(IFERROR((FILTER(Ingredientes!C:C,A8=Ingredientes!A:A))))"),1014)</f>
        <v>1014</v>
      </c>
      <c r="H8" s="13"/>
      <c r="I8" s="13"/>
      <c r="J8" s="13"/>
      <c r="K8" s="13"/>
      <c r="L8" s="13"/>
      <c r="M8" s="13"/>
      <c r="N8" s="13"/>
      <c r="O8" s="13"/>
      <c r="P8" s="13"/>
      <c r="Q8" s="13"/>
      <c r="R8" s="13"/>
      <c r="S8" s="13"/>
      <c r="T8" s="13"/>
      <c r="U8" s="13"/>
      <c r="V8" s="13"/>
      <c r="W8" s="13"/>
      <c r="X8" s="13"/>
      <c r="Y8" s="13"/>
      <c r="Z8" s="13"/>
    </row>
    <row r="9" customFormat="false" ht="15.75" hidden="false" customHeight="true" outlineLevel="0" collapsed="false">
      <c r="A9" s="4" t="n">
        <v>1215</v>
      </c>
      <c r="B9" s="4" t="str">
        <f aca="false" t="array" ref="B9:B9">INDEX(Productos!$A:B,MATCH($A9,Productos!$A:$A),COLUMN(B9))</f>
        <v>Ciboulette picado para envoltura</v>
      </c>
      <c r="C9" s="13" t="n">
        <f aca="false">IFERROR(__xludf.dummyfunction("COUNTUNIQUE(filter(Ingredientes!A:A,Ingredientes!C:C=A9))"),2)</f>
        <v>2</v>
      </c>
      <c r="D9" s="13" t="n">
        <f aca="false">IFERROR(__xludf.dummyfunction("SUM(filter(Ingredientes!E:E,Ingredientes!C:C=A9))*10/filter(Productos!I:I,Productos!A:A=A9)"),20)</f>
        <v>20</v>
      </c>
      <c r="E9" s="13" t="n">
        <f aca="false">IFERROR(__xludf.dummyfunction("COUNT(FILTER(Ingredientes!A:A,Ingredientes!A:A=A9))"),1)</f>
        <v>1</v>
      </c>
      <c r="F9" s="4" t="str">
        <f aca="false">IFERROR(__xludf.dummyfunction("TRANSPOSE(IFERROR((FILTER(Ingredientes!D:D,A9=Ingredientes!A:A))))"),"Ciboulette entero")</f>
        <v>Ciboulette entero</v>
      </c>
      <c r="G9" s="4" t="n">
        <f aca="false">IFERROR(__xludf.dummyfunction("TRANSPOSE(IFERROR((FILTER(Ingredientes!C:C,A9=Ingredientes!A:A))))"),1015)</f>
        <v>1015</v>
      </c>
      <c r="H9" s="13"/>
      <c r="I9" s="13"/>
      <c r="J9" s="13"/>
      <c r="K9" s="13"/>
      <c r="L9" s="13"/>
      <c r="M9" s="13"/>
      <c r="N9" s="13"/>
      <c r="O9" s="13"/>
      <c r="P9" s="13"/>
      <c r="Q9" s="13"/>
      <c r="R9" s="13"/>
      <c r="S9" s="13"/>
      <c r="T9" s="13"/>
      <c r="U9" s="13"/>
      <c r="V9" s="13"/>
      <c r="W9" s="13"/>
      <c r="X9" s="13"/>
      <c r="Y9" s="13"/>
      <c r="Z9" s="13"/>
    </row>
    <row r="10" customFormat="false" ht="15.75" hidden="false" customHeight="true" outlineLevel="0" collapsed="false">
      <c r="A10" s="4" t="n">
        <v>1115</v>
      </c>
      <c r="B10" s="4" t="str">
        <f aca="false" t="array" ref="B10:B10">INDEX(Productos!$A:B,MATCH($A10,Productos!$A:$A),COLUMN(B10))</f>
        <v>Ciboulette picado para roll</v>
      </c>
      <c r="C10" s="13" t="n">
        <f aca="false">IFERROR(__xludf.dummyfunction("COUNTUNIQUE(filter(Ingredientes!A:A,Ingredientes!C:C=A10))"),3)</f>
        <v>3</v>
      </c>
      <c r="D10" s="13" t="n">
        <f aca="false">IFERROR(__xludf.dummyfunction("SUM(filter(Ingredientes!E:E,Ingredientes!C:C=A10))*10/filter(Productos!I:I,Productos!A:A=A10)"),30)</f>
        <v>30</v>
      </c>
      <c r="E10" s="13" t="n">
        <f aca="false">IFERROR(__xludf.dummyfunction("COUNT(FILTER(Ingredientes!A:A,Ingredientes!A:A=A10))"),1)</f>
        <v>1</v>
      </c>
      <c r="F10" s="4" t="str">
        <f aca="false">IFERROR(__xludf.dummyfunction("TRANSPOSE(IFERROR((FILTER(Ingredientes!D:D,A10=Ingredientes!A:A))))"),"Ciboulette entero")</f>
        <v>Ciboulette entero</v>
      </c>
      <c r="G10" s="4" t="n">
        <f aca="false">IFERROR(__xludf.dummyfunction("TRANSPOSE(IFERROR((FILTER(Ingredientes!C:C,A10=Ingredientes!A:A))))"),1015)</f>
        <v>1015</v>
      </c>
      <c r="H10" s="13"/>
      <c r="I10" s="13"/>
      <c r="J10" s="13"/>
      <c r="K10" s="13"/>
      <c r="L10" s="13"/>
      <c r="M10" s="13"/>
      <c r="N10" s="13"/>
      <c r="O10" s="13"/>
      <c r="P10" s="13"/>
      <c r="Q10" s="13"/>
      <c r="R10" s="13"/>
      <c r="S10" s="13"/>
      <c r="T10" s="13"/>
      <c r="U10" s="13"/>
      <c r="V10" s="13"/>
      <c r="W10" s="13"/>
      <c r="X10" s="13"/>
      <c r="Y10" s="13"/>
      <c r="Z10" s="13"/>
    </row>
    <row r="11" customFormat="false" ht="15.75" hidden="false" customHeight="true" outlineLevel="0" collapsed="false">
      <c r="A11" s="4" t="n">
        <v>1105</v>
      </c>
      <c r="B11" s="4" t="str">
        <f aca="false" t="array" ref="B11:B11">INDEX(Productos!$A:B,MATCH($A11,Productos!$A:$A),COLUMN(B11))</f>
        <v>Kanikama para roll</v>
      </c>
      <c r="C11" s="13" t="n">
        <f aca="false">IFERROR(__xludf.dummyfunction("COUNTUNIQUE(filter(Ingredientes!A:A,Ingredientes!C:C=A11))"),5)</f>
        <v>5</v>
      </c>
      <c r="D11" s="13" t="n">
        <f aca="false">IFERROR(__xludf.dummyfunction("SUM(filter(Ingredientes!E:E,Ingredientes!C:C=A11))*10/filter(Productos!I:I,Productos!A:A=A11)"),50)</f>
        <v>50</v>
      </c>
      <c r="E11" s="13" t="n">
        <f aca="false">IFERROR(__xludf.dummyfunction("COUNT(FILTER(Ingredientes!A:A,Ingredientes!A:A=A11))"),1)</f>
        <v>1</v>
      </c>
      <c r="F11" s="4" t="str">
        <f aca="false">IFERROR(__xludf.dummyfunction("TRANSPOSE(IFERROR((FILTER(Ingredientes!D:D,A11=Ingredientes!A:A))))"),"Kanikama entero")</f>
        <v>Kanikama entero</v>
      </c>
      <c r="G11" s="4" t="n">
        <f aca="false">IFERROR(__xludf.dummyfunction("TRANSPOSE(IFERROR((FILTER(Ingredientes!C:C,A11=Ingredientes!A:A))))"),1005)</f>
        <v>1005</v>
      </c>
      <c r="H11" s="13"/>
      <c r="I11" s="13"/>
      <c r="J11" s="13"/>
      <c r="K11" s="13"/>
      <c r="L11" s="13"/>
      <c r="M11" s="13"/>
      <c r="N11" s="13"/>
      <c r="O11" s="13"/>
      <c r="P11" s="13"/>
      <c r="Q11" s="13"/>
      <c r="R11" s="13"/>
      <c r="S11" s="13"/>
      <c r="T11" s="13"/>
      <c r="U11" s="13"/>
      <c r="V11" s="13"/>
      <c r="W11" s="13"/>
      <c r="X11" s="13"/>
      <c r="Y11" s="13"/>
      <c r="Z11" s="13"/>
    </row>
    <row r="12" customFormat="false" ht="15.75" hidden="false" customHeight="true" outlineLevel="0" collapsed="false">
      <c r="A12" s="12" t="n">
        <v>1013</v>
      </c>
      <c r="B12" s="4" t="str">
        <f aca="false" t="array" ref="B12:B12">INDEX(Productos!$A:B,MATCH($A12,Productos!$A:$A),COLUMN(B12))</f>
        <v>Masago</v>
      </c>
      <c r="C12" s="13" t="n">
        <f aca="false">IFERROR(__xludf.dummyfunction("COUNTUNIQUE(filter(Ingredientes!A:A,Ingredientes!C:C=A12))"),6)</f>
        <v>6</v>
      </c>
      <c r="D12" s="13" t="n">
        <f aca="false">IFERROR(__xludf.dummyfunction("SUM(filter(Ingredientes!E:E,Ingredientes!C:C=A12))*10/filter(Productos!I:I,Productos!A:A=A12)"),300)</f>
        <v>300</v>
      </c>
      <c r="E12" s="13" t="n">
        <f aca="false">IFERROR(__xludf.dummyfunction("COUNT(FILTER(Ingredientes!A:A,Ingredientes!A:A=A12))"),0)</f>
        <v>0</v>
      </c>
      <c r="F12" s="4" t="str">
        <f aca="false">IFERROR(__xludf.dummyfunction("TRANSPOSE(IFERROR((FILTER(Ingredientes!D:D,A12=Ingredientes!A:A))))"),"")</f>
        <v/>
      </c>
      <c r="G12" s="4" t="str">
        <f aca="false">IFERROR(__xludf.dummyfunction("TRANSPOSE(IFERROR((FILTER(Ingredientes!C:C,A12=Ingredientes!A:A))))"),"")</f>
        <v/>
      </c>
      <c r="H12" s="13"/>
      <c r="I12" s="13"/>
      <c r="J12" s="13"/>
      <c r="K12" s="13"/>
      <c r="L12" s="13"/>
      <c r="M12" s="13"/>
      <c r="N12" s="13"/>
      <c r="O12" s="13"/>
      <c r="P12" s="13"/>
      <c r="Q12" s="13"/>
      <c r="R12" s="13"/>
      <c r="S12" s="13"/>
      <c r="T12" s="13"/>
      <c r="U12" s="13"/>
      <c r="V12" s="13"/>
      <c r="W12" s="13"/>
      <c r="X12" s="13"/>
      <c r="Y12" s="13"/>
      <c r="Z12" s="13"/>
    </row>
    <row r="13" customFormat="false" ht="15.75" hidden="false" customHeight="true" outlineLevel="0" collapsed="false">
      <c r="A13" s="4" t="n">
        <v>1216</v>
      </c>
      <c r="B13" s="4" t="str">
        <f aca="false" t="array" ref="B13:B13">INDEX(Productos!$A:B,MATCH($A13,Productos!$A:$A),COLUMN(B13))</f>
        <v>Nori entero cortado para nigiri</v>
      </c>
      <c r="C13" s="13" t="n">
        <f aca="false">IFERROR(__xludf.dummyfunction("COUNTUNIQUE(filter(Ingredientes!A:A,Ingredientes!C:C=A13))"),5)</f>
        <v>5</v>
      </c>
      <c r="D13" s="13" t="n">
        <f aca="false">IFERROR(__xludf.dummyfunction("SUM(filter(Ingredientes!E:E,Ingredientes!C:C=A13))*10/filter(Productos!I:I,Productos!A:A=A13)"),50)</f>
        <v>50</v>
      </c>
      <c r="E13" s="13" t="n">
        <f aca="false">IFERROR(__xludf.dummyfunction("COUNT(FILTER(Ingredientes!A:A,Ingredientes!A:A=A13))"),1)</f>
        <v>1</v>
      </c>
      <c r="F13" s="4" t="str">
        <f aca="false">IFERROR(__xludf.dummyfunction("TRANSPOSE(IFERROR((FILTER(Ingredientes!D:D,A13=Ingredientes!A:A))))"),"Nori entero")</f>
        <v>Nori entero</v>
      </c>
      <c r="G13" s="4" t="n">
        <f aca="false">IFERROR(__xludf.dummyfunction("TRANSPOSE(IFERROR((FILTER(Ingredientes!C:C,A13=Ingredientes!A:A))))"),1016)</f>
        <v>1016</v>
      </c>
      <c r="H13" s="13"/>
      <c r="I13" s="13"/>
      <c r="J13" s="13"/>
      <c r="K13" s="13"/>
      <c r="L13" s="13"/>
      <c r="M13" s="13"/>
      <c r="N13" s="13"/>
      <c r="O13" s="13"/>
      <c r="P13" s="13"/>
      <c r="Q13" s="13"/>
      <c r="R13" s="13"/>
      <c r="S13" s="13"/>
      <c r="T13" s="13"/>
      <c r="U13" s="13"/>
      <c r="V13" s="13"/>
      <c r="W13" s="13"/>
      <c r="X13" s="13"/>
      <c r="Y13" s="13"/>
      <c r="Z13" s="13"/>
    </row>
    <row r="14" customFormat="false" ht="15.75" hidden="false" customHeight="true" outlineLevel="0" collapsed="false">
      <c r="A14" s="4" t="n">
        <v>1116</v>
      </c>
      <c r="B14" s="4" t="str">
        <f aca="false" t="array" ref="B14:B14">INDEX(Productos!$A:B,MATCH($A14,Productos!$A:$A),COLUMN(B14))</f>
        <v>Nori entero cortado para roll</v>
      </c>
      <c r="C14" s="13" t="n">
        <f aca="false">IFERROR(__xludf.dummyfunction("COUNTUNIQUE(filter(Ingredientes!A:A,Ingredientes!C:C=A14))"),25)</f>
        <v>25</v>
      </c>
      <c r="D14" s="13" t="n">
        <f aca="false">IFERROR(__xludf.dummyfunction("SUM(filter(Ingredientes!E:E,Ingredientes!C:C=A14))*10/filter(Productos!I:I,Productos!A:A=A14)"),250)</f>
        <v>250</v>
      </c>
      <c r="E14" s="13" t="n">
        <f aca="false">IFERROR(__xludf.dummyfunction("COUNT(FILTER(Ingredientes!A:A,Ingredientes!A:A=A14))"),1)</f>
        <v>1</v>
      </c>
      <c r="F14" s="4" t="str">
        <f aca="false">IFERROR(__xludf.dummyfunction("TRANSPOSE(IFERROR((FILTER(Ingredientes!D:D,A14=Ingredientes!A:A))))"),"Nori entero")</f>
        <v>Nori entero</v>
      </c>
      <c r="G14" s="4" t="n">
        <f aca="false">IFERROR(__xludf.dummyfunction("TRANSPOSE(IFERROR((FILTER(Ingredientes!C:C,A14=Ingredientes!A:A))))"),1016)</f>
        <v>1016</v>
      </c>
      <c r="H14" s="13"/>
      <c r="I14" s="13"/>
      <c r="J14" s="13"/>
      <c r="K14" s="13"/>
      <c r="L14" s="13"/>
      <c r="M14" s="13"/>
      <c r="N14" s="13"/>
      <c r="O14" s="13"/>
      <c r="P14" s="13"/>
      <c r="Q14" s="13"/>
      <c r="R14" s="13"/>
      <c r="S14" s="13"/>
      <c r="T14" s="13"/>
      <c r="U14" s="13"/>
      <c r="V14" s="13"/>
      <c r="W14" s="13"/>
      <c r="X14" s="13"/>
      <c r="Y14" s="13"/>
      <c r="Z14" s="13"/>
    </row>
    <row r="15" customFormat="false" ht="15.75" hidden="false" customHeight="true" outlineLevel="0" collapsed="false">
      <c r="A15" s="4" t="n">
        <v>1110</v>
      </c>
      <c r="B15" s="4" t="str">
        <f aca="false" t="array" ref="B15:B15">INDEX(Productos!$A:B,MATCH($A15,Productos!$A:$A),COLUMN(B15))</f>
        <v>Palta cortada para envoltura</v>
      </c>
      <c r="C15" s="13" t="n">
        <f aca="false">IFERROR(__xludf.dummyfunction("COUNTUNIQUE(filter(Ingredientes!A:A,Ingredientes!C:C=A15))"),8)</f>
        <v>8</v>
      </c>
      <c r="D15" s="13" t="n">
        <f aca="false">IFERROR(__xludf.dummyfunction("SUM(filter(Ingredientes!E:E,Ingredientes!C:C=A15))*10/filter(Productos!I:I,Productos!A:A=A15)"),80)</f>
        <v>80</v>
      </c>
      <c r="E15" s="13" t="n">
        <f aca="false">IFERROR(__xludf.dummyfunction("COUNT(FILTER(Ingredientes!A:A,Ingredientes!A:A=A15))"),1)</f>
        <v>1</v>
      </c>
      <c r="F15" s="4" t="str">
        <f aca="false">IFERROR(__xludf.dummyfunction("TRANSPOSE(IFERROR((FILTER(Ingredientes!D:D,A15=Ingredientes!A:A))))"),"Palta")</f>
        <v>Palta</v>
      </c>
      <c r="G15" s="4" t="n">
        <f aca="false">IFERROR(__xludf.dummyfunction("TRANSPOSE(IFERROR((FILTER(Ingredientes!C:C,A15=Ingredientes!A:A))))"),1010)</f>
        <v>1010</v>
      </c>
      <c r="H15" s="13"/>
      <c r="I15" s="13"/>
      <c r="J15" s="13"/>
      <c r="K15" s="13"/>
      <c r="L15" s="13"/>
      <c r="M15" s="13"/>
      <c r="N15" s="13"/>
      <c r="O15" s="13"/>
      <c r="P15" s="13"/>
      <c r="Q15" s="13"/>
      <c r="R15" s="13"/>
      <c r="S15" s="13"/>
      <c r="T15" s="13"/>
      <c r="U15" s="13"/>
      <c r="V15" s="13"/>
      <c r="W15" s="13"/>
      <c r="X15" s="13"/>
      <c r="Y15" s="13"/>
      <c r="Z15" s="13"/>
    </row>
    <row r="16" customFormat="false" ht="15.75" hidden="false" customHeight="true" outlineLevel="0" collapsed="false">
      <c r="A16" s="4" t="n">
        <v>1310</v>
      </c>
      <c r="B16" s="4" t="str">
        <f aca="false" t="array" ref="B16:B16">INDEX(Productos!$A:B,MATCH($A16,Productos!$A:$A),COLUMN(B16))</f>
        <v>Palta cortada para nigiri</v>
      </c>
      <c r="C16" s="13" t="n">
        <f aca="false">IFERROR(__xludf.dummyfunction("COUNTUNIQUE(filter(Ingredientes!A:A,Ingredientes!C:C=A16))"),2)</f>
        <v>2</v>
      </c>
      <c r="D16" s="13" t="n">
        <f aca="false">IFERROR(__xludf.dummyfunction("SUM(filter(Ingredientes!E:E,Ingredientes!C:C=A16))*10/filter(Productos!I:I,Productos!A:A=A16)"),20)</f>
        <v>20</v>
      </c>
      <c r="E16" s="13" t="n">
        <f aca="false">IFERROR(__xludf.dummyfunction("COUNT(FILTER(Ingredientes!A:A,Ingredientes!A:A=A16))"),1)</f>
        <v>1</v>
      </c>
      <c r="F16" s="4" t="str">
        <f aca="false">IFERROR(__xludf.dummyfunction("TRANSPOSE(IFERROR((FILTER(Ingredientes!D:D,A16=Ingredientes!A:A))))"),"Palta")</f>
        <v>Palta</v>
      </c>
      <c r="G16" s="4" t="n">
        <f aca="false">IFERROR(__xludf.dummyfunction("TRANSPOSE(IFERROR((FILTER(Ingredientes!C:C,A16=Ingredientes!A:A))))"),1010)</f>
        <v>1010</v>
      </c>
      <c r="H16" s="13"/>
      <c r="I16" s="13"/>
      <c r="J16" s="13"/>
      <c r="K16" s="13"/>
      <c r="L16" s="13"/>
      <c r="M16" s="13"/>
      <c r="N16" s="13"/>
      <c r="O16" s="13"/>
      <c r="P16" s="13"/>
      <c r="Q16" s="13"/>
      <c r="R16" s="13"/>
      <c r="S16" s="13"/>
      <c r="T16" s="13"/>
      <c r="U16" s="13"/>
      <c r="V16" s="13"/>
      <c r="W16" s="13"/>
      <c r="X16" s="13"/>
      <c r="Y16" s="13"/>
      <c r="Z16" s="13"/>
    </row>
    <row r="17" customFormat="false" ht="15.75" hidden="false" customHeight="true" outlineLevel="0" collapsed="false">
      <c r="A17" s="4" t="n">
        <v>1210</v>
      </c>
      <c r="B17" s="4" t="str">
        <f aca="false" t="array" ref="B17:B17">INDEX(Productos!$A:B,MATCH($A17,Productos!$A:$A),COLUMN(B17))</f>
        <v>Palta cortada para roll</v>
      </c>
      <c r="C17" s="13" t="n">
        <f aca="false">IFERROR(__xludf.dummyfunction("COUNTUNIQUE(filter(Ingredientes!A:A,Ingredientes!C:C=A17))"),15)</f>
        <v>15</v>
      </c>
      <c r="D17" s="13" t="n">
        <f aca="false">IFERROR(__xludf.dummyfunction("SUM(filter(Ingredientes!E:E,Ingredientes!C:C=A17))*10/filter(Productos!I:I,Productos!A:A=A17)"),150)</f>
        <v>150</v>
      </c>
      <c r="E17" s="13" t="n">
        <f aca="false">IFERROR(__xludf.dummyfunction("COUNT(FILTER(Ingredientes!A:A,Ingredientes!A:A=A17))"),1)</f>
        <v>1</v>
      </c>
      <c r="F17" s="4" t="str">
        <f aca="false">IFERROR(__xludf.dummyfunction("TRANSPOSE(IFERROR((FILTER(Ingredientes!D:D,A17=Ingredientes!A:A))))"),"Palta")</f>
        <v>Palta</v>
      </c>
      <c r="G17" s="4" t="n">
        <f aca="false">IFERROR(__xludf.dummyfunction("TRANSPOSE(IFERROR((FILTER(Ingredientes!C:C,A17=Ingredientes!A:A))))"),1010)</f>
        <v>1010</v>
      </c>
      <c r="H17" s="13"/>
      <c r="I17" s="13"/>
      <c r="J17" s="13"/>
      <c r="K17" s="13"/>
      <c r="L17" s="13"/>
      <c r="M17" s="13"/>
      <c r="N17" s="13"/>
      <c r="O17" s="13"/>
      <c r="P17" s="13"/>
      <c r="Q17" s="13"/>
      <c r="R17" s="13"/>
      <c r="S17" s="13"/>
      <c r="T17" s="13"/>
      <c r="U17" s="13"/>
      <c r="V17" s="13"/>
      <c r="W17" s="13"/>
      <c r="X17" s="13"/>
      <c r="Y17" s="13"/>
      <c r="Z17" s="13"/>
    </row>
    <row r="18" customFormat="false" ht="15.75" hidden="false" customHeight="true" outlineLevel="0" collapsed="false">
      <c r="A18" s="4" t="n">
        <v>1112</v>
      </c>
      <c r="B18" s="4" t="str">
        <f aca="false" t="array" ref="B18:B18">INDEX(Productos!$A:B,MATCH($A18,Productos!$A:$A),COLUMN(B18))</f>
        <v>Queso crema para roll</v>
      </c>
      <c r="C18" s="13" t="n">
        <f aca="false">IFERROR(__xludf.dummyfunction("COUNTUNIQUE(filter(Ingredientes!A:A,Ingredientes!C:C=A18))"),13)</f>
        <v>13</v>
      </c>
      <c r="D18" s="13" t="n">
        <f aca="false">IFERROR(__xludf.dummyfunction("SUM(filter(Ingredientes!E:E,Ingredientes!C:C=A18))*10/filter(Productos!I:I,Productos!A:A=A18)"),130)</f>
        <v>130</v>
      </c>
      <c r="E18" s="13" t="n">
        <f aca="false">IFERROR(__xludf.dummyfunction("COUNT(FILTER(Ingredientes!A:A,Ingredientes!A:A=A18))"),1)</f>
        <v>1</v>
      </c>
      <c r="F18" s="4" t="str">
        <f aca="false">IFERROR(__xludf.dummyfunction("TRANSPOSE(IFERROR((FILTER(Ingredientes!D:D,A18=Ingredientes!A:A))))"),"Queso crema")</f>
        <v>Queso crema</v>
      </c>
      <c r="G18" s="4" t="n">
        <f aca="false">IFERROR(__xludf.dummyfunction("TRANSPOSE(IFERROR((FILTER(Ingredientes!C:C,A18=Ingredientes!A:A))))"),1012)</f>
        <v>1012</v>
      </c>
      <c r="H18" s="13"/>
      <c r="I18" s="13"/>
      <c r="J18" s="13"/>
      <c r="K18" s="13"/>
      <c r="L18" s="13"/>
      <c r="M18" s="13"/>
      <c r="N18" s="13"/>
      <c r="O18" s="13"/>
      <c r="P18" s="13"/>
      <c r="Q18" s="13"/>
      <c r="R18" s="13"/>
      <c r="S18" s="13"/>
      <c r="T18" s="13"/>
      <c r="U18" s="13"/>
      <c r="V18" s="13"/>
      <c r="W18" s="13"/>
      <c r="X18" s="13"/>
      <c r="Y18" s="13"/>
      <c r="Z18" s="13"/>
    </row>
    <row r="19" customFormat="false" ht="15.75" hidden="false" customHeight="true" outlineLevel="0" collapsed="false">
      <c r="A19" s="4" t="n">
        <v>1108</v>
      </c>
      <c r="B19" s="4" t="str">
        <f aca="false" t="array" ref="B19:B19">INDEX(Productos!$A:B,MATCH($A19,Productos!$A:$A),COLUMN(B19))</f>
        <v>Salmón ahumado cortado para roll</v>
      </c>
      <c r="C19" s="13" t="n">
        <f aca="false">IFERROR(__xludf.dummyfunction("COUNTUNIQUE(filter(Ingredientes!A:A,Ingredientes!C:C=A19))"),1)</f>
        <v>1</v>
      </c>
      <c r="D19" s="13" t="n">
        <f aca="false">IFERROR(__xludf.dummyfunction("SUM(filter(Ingredientes!E:E,Ingredientes!C:C=A19))*10/filter(Productos!I:I,Productos!A:A=A19)"),10)</f>
        <v>10</v>
      </c>
      <c r="E19" s="13" t="n">
        <f aca="false">IFERROR(__xludf.dummyfunction("COUNT(FILTER(Ingredientes!A:A,Ingredientes!A:A=A19))"),1)</f>
        <v>1</v>
      </c>
      <c r="F19" s="4" t="str">
        <f aca="false">IFERROR(__xludf.dummyfunction("TRANSPOSE(IFERROR((FILTER(Ingredientes!D:D,A19=Ingredientes!A:A))))"),"Filete de salmón ahumado")</f>
        <v>Filete de salmón ahumado</v>
      </c>
      <c r="G19" s="4" t="n">
        <f aca="false">IFERROR(__xludf.dummyfunction("TRANSPOSE(IFERROR((FILTER(Ingredientes!C:C,A19=Ingredientes!A:A))))"),1008)</f>
        <v>1008</v>
      </c>
      <c r="H19" s="13"/>
      <c r="I19" s="13"/>
      <c r="J19" s="13"/>
      <c r="K19" s="13"/>
      <c r="L19" s="13"/>
      <c r="M19" s="13"/>
      <c r="N19" s="13"/>
      <c r="O19" s="13"/>
      <c r="P19" s="13"/>
      <c r="Q19" s="13"/>
      <c r="R19" s="13"/>
      <c r="S19" s="13"/>
      <c r="T19" s="13"/>
      <c r="U19" s="13"/>
      <c r="V19" s="13"/>
      <c r="W19" s="13"/>
      <c r="X19" s="13"/>
      <c r="Y19" s="13"/>
      <c r="Z19" s="13"/>
    </row>
    <row r="20" customFormat="false" ht="15.75" hidden="false" customHeight="true" outlineLevel="0" collapsed="false">
      <c r="A20" s="4" t="n">
        <v>1407</v>
      </c>
      <c r="B20" s="4" t="str">
        <f aca="false" t="array" ref="B20:B20">INDEX(Productos!$A:B,MATCH($A20,Productos!$A:$A),COLUMN(B20))</f>
        <v>Salmón cortado para envoltura</v>
      </c>
      <c r="C20" s="13" t="n">
        <f aca="false">IFERROR(__xludf.dummyfunction("COUNTUNIQUE(filter(Ingredientes!A:A,Ingredientes!C:C=A20))"),4)</f>
        <v>4</v>
      </c>
      <c r="D20" s="13" t="n">
        <f aca="false">IFERROR(__xludf.dummyfunction("SUM(filter(Ingredientes!E:E,Ingredientes!C:C=A20))*10/filter(Productos!I:I,Productos!A:A=A20)"),40)</f>
        <v>40</v>
      </c>
      <c r="E20" s="13" t="n">
        <f aca="false">IFERROR(__xludf.dummyfunction("COUNT(FILTER(Ingredientes!A:A,Ingredientes!A:A=A20))"),1)</f>
        <v>1</v>
      </c>
      <c r="F20" s="4" t="str">
        <f aca="false">IFERROR(__xludf.dummyfunction("TRANSPOSE(IFERROR((FILTER(Ingredientes!D:D,A20=Ingredientes!A:A))))"),"Filete de salmón")</f>
        <v>Filete de salmón</v>
      </c>
      <c r="G20" s="4" t="n">
        <f aca="false">IFERROR(__xludf.dummyfunction("TRANSPOSE(IFERROR((FILTER(Ingredientes!C:C,A20=Ingredientes!A:A))))"),1007)</f>
        <v>1007</v>
      </c>
      <c r="H20" s="13"/>
      <c r="I20" s="13"/>
      <c r="J20" s="13"/>
      <c r="K20" s="13"/>
      <c r="L20" s="13"/>
      <c r="M20" s="13"/>
      <c r="N20" s="13"/>
      <c r="O20" s="13"/>
      <c r="P20" s="13"/>
      <c r="Q20" s="13"/>
      <c r="R20" s="13"/>
      <c r="S20" s="13"/>
      <c r="T20" s="13"/>
      <c r="U20" s="13"/>
      <c r="V20" s="13"/>
      <c r="W20" s="13"/>
      <c r="X20" s="13"/>
      <c r="Y20" s="13"/>
      <c r="Z20" s="13"/>
    </row>
    <row r="21" customFormat="false" ht="15.75" hidden="false" customHeight="true" outlineLevel="0" collapsed="false">
      <c r="A21" s="4" t="n">
        <v>1207</v>
      </c>
      <c r="B21" s="4" t="str">
        <f aca="false" t="array" ref="B21:B21">INDEX(Productos!$A:B,MATCH($A21,Productos!$A:$A),COLUMN(B21))</f>
        <v>Salmón cortado para nigiri</v>
      </c>
      <c r="C21" s="13" t="n">
        <f aca="false">IFERROR(__xludf.dummyfunction("COUNTUNIQUE(filter(Ingredientes!A:A,Ingredientes!C:C=A21))"),2)</f>
        <v>2</v>
      </c>
      <c r="D21" s="13" t="n">
        <f aca="false">IFERROR(__xludf.dummyfunction("SUM(filter(Ingredientes!E:E,Ingredientes!C:C=A21))*10/filter(Productos!I:I,Productos!A:A=A21)"),20)</f>
        <v>20</v>
      </c>
      <c r="E21" s="13" t="n">
        <f aca="false">IFERROR(__xludf.dummyfunction("COUNT(FILTER(Ingredientes!A:A,Ingredientes!A:A=A21))"),1)</f>
        <v>1</v>
      </c>
      <c r="F21" s="4" t="str">
        <f aca="false">IFERROR(__xludf.dummyfunction("TRANSPOSE(IFERROR((FILTER(Ingredientes!D:D,A21=Ingredientes!A:A))))"),"Filete de salmón")</f>
        <v>Filete de salmón</v>
      </c>
      <c r="G21" s="4" t="n">
        <f aca="false">IFERROR(__xludf.dummyfunction("TRANSPOSE(IFERROR((FILTER(Ingredientes!C:C,A21=Ingredientes!A:A))))"),1007)</f>
        <v>1007</v>
      </c>
      <c r="H21" s="13"/>
      <c r="I21" s="13"/>
      <c r="J21" s="13"/>
      <c r="K21" s="13"/>
      <c r="L21" s="13"/>
      <c r="M21" s="13"/>
      <c r="N21" s="13"/>
      <c r="O21" s="13"/>
      <c r="P21" s="13"/>
      <c r="Q21" s="13"/>
      <c r="R21" s="13"/>
      <c r="S21" s="13"/>
      <c r="T21" s="13"/>
      <c r="U21" s="13"/>
      <c r="V21" s="13"/>
      <c r="W21" s="13"/>
      <c r="X21" s="13"/>
      <c r="Y21" s="13"/>
      <c r="Z21" s="13"/>
    </row>
    <row r="22" customFormat="false" ht="15.75" hidden="false" customHeight="true" outlineLevel="0" collapsed="false">
      <c r="A22" s="4" t="n">
        <v>1107</v>
      </c>
      <c r="B22" s="4" t="str">
        <f aca="false" t="array" ref="B22:B22">INDEX(Productos!$A:B,MATCH($A22,Productos!$A:$A),COLUMN(B22))</f>
        <v>Salmón cortado para roll</v>
      </c>
      <c r="C22" s="13" t="n">
        <f aca="false">IFERROR(__xludf.dummyfunction("COUNTUNIQUE(filter(Ingredientes!A:A,Ingredientes!C:C=A22))"),5)</f>
        <v>5</v>
      </c>
      <c r="D22" s="13" t="n">
        <f aca="false">IFERROR(__xludf.dummyfunction("SUM(filter(Ingredientes!E:E,Ingredientes!C:C=A22))*10/filter(Productos!I:I,Productos!A:A=A22)"),50)</f>
        <v>50</v>
      </c>
      <c r="E22" s="13" t="n">
        <f aca="false">IFERROR(__xludf.dummyfunction("COUNT(FILTER(Ingredientes!A:A,Ingredientes!A:A=A22))"),1)</f>
        <v>1</v>
      </c>
      <c r="F22" s="4" t="str">
        <f aca="false">IFERROR(__xludf.dummyfunction("TRANSPOSE(IFERROR((FILTER(Ingredientes!D:D,A22=Ingredientes!A:A))))"),"Filete de salmón")</f>
        <v>Filete de salmón</v>
      </c>
      <c r="G22" s="4" t="n">
        <f aca="false">IFERROR(__xludf.dummyfunction("TRANSPOSE(IFERROR((FILTER(Ingredientes!C:C,A22=Ingredientes!A:A))))"),1007)</f>
        <v>1007</v>
      </c>
      <c r="H22" s="13"/>
      <c r="I22" s="13"/>
      <c r="J22" s="13"/>
      <c r="K22" s="13"/>
      <c r="L22" s="13"/>
      <c r="M22" s="13"/>
      <c r="N22" s="13"/>
      <c r="O22" s="13"/>
      <c r="P22" s="13"/>
      <c r="Q22" s="13"/>
      <c r="R22" s="13"/>
      <c r="S22" s="13"/>
      <c r="T22" s="13"/>
      <c r="U22" s="13"/>
      <c r="V22" s="13"/>
      <c r="W22" s="13"/>
      <c r="X22" s="13"/>
      <c r="Y22" s="13"/>
      <c r="Z22" s="13"/>
    </row>
    <row r="23" customFormat="false" ht="15.75" hidden="false" customHeight="true" outlineLevel="0" collapsed="false">
      <c r="A23" s="4" t="n">
        <v>1307</v>
      </c>
      <c r="B23" s="4" t="str">
        <f aca="false" t="array" ref="B23:B23">INDEX(Productos!$A:B,MATCH($A23,Productos!$A:$A),COLUMN(B23))</f>
        <v>Salmón cortado para sashimi</v>
      </c>
      <c r="C23" s="13" t="n">
        <f aca="false">IFERROR(__xludf.dummyfunction("COUNTUNIQUE(filter(Ingredientes!A:A,Ingredientes!C:C=A23))"),5)</f>
        <v>5</v>
      </c>
      <c r="D23" s="13" t="n">
        <f aca="false">IFERROR(__xludf.dummyfunction("SUM(filter(Ingredientes!E:E,Ingredientes!C:C=A23))*10/filter(Productos!I:I,Productos!A:A=A23)"),170)</f>
        <v>170</v>
      </c>
      <c r="E23" s="13" t="n">
        <f aca="false">IFERROR(__xludf.dummyfunction("COUNT(FILTER(Ingredientes!A:A,Ingredientes!A:A=A23))"),1)</f>
        <v>1</v>
      </c>
      <c r="F23" s="4" t="str">
        <f aca="false">IFERROR(__xludf.dummyfunction("TRANSPOSE(IFERROR((FILTER(Ingredientes!D:D,A23=Ingredientes!A:A))))"),"Filete de salmón")</f>
        <v>Filete de salmón</v>
      </c>
      <c r="G23" s="4" t="n">
        <f aca="false">IFERROR(__xludf.dummyfunction("TRANSPOSE(IFERROR((FILTER(Ingredientes!C:C,A23=Ingredientes!A:A))))"),1007)</f>
        <v>1007</v>
      </c>
      <c r="H23" s="13"/>
      <c r="I23" s="13"/>
      <c r="J23" s="13"/>
      <c r="K23" s="13"/>
      <c r="L23" s="13"/>
      <c r="M23" s="13"/>
      <c r="N23" s="13"/>
      <c r="O23" s="13"/>
      <c r="P23" s="13"/>
      <c r="Q23" s="13"/>
      <c r="R23" s="13"/>
      <c r="S23" s="13"/>
      <c r="T23" s="13"/>
      <c r="U23" s="13"/>
      <c r="V23" s="13"/>
      <c r="W23" s="13"/>
      <c r="X23" s="13"/>
      <c r="Y23" s="13"/>
      <c r="Z23" s="13"/>
    </row>
    <row r="24" customFormat="false" ht="15.75" hidden="false" customHeight="true" outlineLevel="0" collapsed="false">
      <c r="A24" s="4" t="n">
        <v>1211</v>
      </c>
      <c r="B24" s="4" t="str">
        <f aca="false" t="array" ref="B24:B24">INDEX(Productos!$A:B,MATCH($A24,Productos!$A:$A),COLUMN(B24))</f>
        <v>Sésamo tostado para envoltura</v>
      </c>
      <c r="C24" s="13" t="n">
        <f aca="false">IFERROR(__xludf.dummyfunction("COUNTUNIQUE(filter(Ingredientes!A:A,Ingredientes!C:C=A24))"),6)</f>
        <v>6</v>
      </c>
      <c r="D24" s="13" t="n">
        <f aca="false">IFERROR(__xludf.dummyfunction("SUM(filter(Ingredientes!E:E,Ingredientes!C:C=A24))*10/filter(Productos!I:I,Productos!A:A=A24)"),60)</f>
        <v>60</v>
      </c>
      <c r="E24" s="13" t="n">
        <f aca="false">IFERROR(__xludf.dummyfunction("COUNT(FILTER(Ingredientes!A:A,Ingredientes!A:A=A24))"),1)</f>
        <v>1</v>
      </c>
      <c r="F24" s="4" t="str">
        <f aca="false">IFERROR(__xludf.dummyfunction("TRANSPOSE(IFERROR((FILTER(Ingredientes!D:D,A24=Ingredientes!A:A))))"),"Sésamo tostado")</f>
        <v>Sésamo tostado</v>
      </c>
      <c r="G24" s="4" t="n">
        <f aca="false">IFERROR(__xludf.dummyfunction("TRANSPOSE(IFERROR((FILTER(Ingredientes!C:C,A24=Ingredientes!A:A))))"),1111)</f>
        <v>1111</v>
      </c>
      <c r="H24" s="13"/>
      <c r="I24" s="13"/>
      <c r="J24" s="13"/>
      <c r="K24" s="13"/>
      <c r="L24" s="13"/>
      <c r="M24" s="13"/>
      <c r="N24" s="13"/>
      <c r="O24" s="13"/>
      <c r="P24" s="13"/>
      <c r="Q24" s="13"/>
      <c r="R24" s="13"/>
      <c r="S24" s="13"/>
      <c r="T24" s="13"/>
      <c r="U24" s="13"/>
      <c r="V24" s="13"/>
      <c r="W24" s="13"/>
      <c r="X24" s="13"/>
      <c r="Y24" s="13"/>
      <c r="Z24" s="13"/>
    </row>
    <row r="45" customFormat="false" ht="13" hidden="false" customHeight="false" outlineLevel="0" collapsed="false"/>
    <row r="46" customFormat="false" ht="13" hidden="false" customHeight="false" outlineLevel="0" collapsed="false"/>
    <row r="47" customFormat="false" ht="13" hidden="false" customHeight="false" outlineLevel="0" collapsed="false"/>
    <row r="48" customFormat="false" ht="13" hidden="false" customHeight="false" outlineLevel="0" collapsed="false"/>
    <row r="49" customFormat="false" ht="13" hidden="false" customHeight="false" outlineLevel="0" collapsed="false"/>
    <row r="50" customFormat="false" ht="13" hidden="false" customHeight="false" outlineLevel="0" collapsed="false"/>
    <row r="51" customFormat="false" ht="13" hidden="false" customHeight="false" outlineLevel="0" collapsed="false"/>
    <row r="52" customFormat="false" ht="13" hidden="false" customHeight="false" outlineLevel="0" collapsed="false"/>
    <row r="53" customFormat="false" ht="13" hidden="false" customHeight="false" outlineLevel="0" collapsed="false"/>
    <row r="54" customFormat="false" ht="13" hidden="false" customHeight="false" outlineLevel="0" collapsed="false"/>
    <row r="55" customFormat="false" ht="13" hidden="false" customHeight="false" outlineLevel="0" collapsed="false"/>
    <row r="56" customFormat="false" ht="13" hidden="false" customHeight="false" outlineLevel="0" collapsed="false"/>
    <row r="57" customFormat="false" ht="13" hidden="false" customHeight="false" outlineLevel="0" collapsed="false"/>
    <row r="58" customFormat="false" ht="13" hidden="false" customHeight="false" outlineLevel="0" collapsed="false"/>
    <row r="59" customFormat="false" ht="13" hidden="false" customHeight="false" outlineLevel="0" collapsed="false"/>
    <row r="60" customFormat="false" ht="13" hidden="false" customHeight="false" outlineLevel="0" collapsed="false"/>
    <row r="61" customFormat="false" ht="13" hidden="false" customHeight="false" outlineLevel="0" collapsed="false"/>
    <row r="62" customFormat="false" ht="13" hidden="false" customHeight="false" outlineLevel="0" collapsed="false"/>
    <row r="63" customFormat="false" ht="13" hidden="false" customHeight="false" outlineLevel="0" collapsed="false"/>
    <row r="64" customFormat="false" ht="13" hidden="false" customHeight="false" outlineLevel="0" collapsed="false"/>
    <row r="65" customFormat="false" ht="13" hidden="false" customHeight="false" outlineLevel="0" collapsed="false"/>
    <row r="66" customFormat="false" ht="13" hidden="false" customHeight="false" outlineLevel="0" collapsed="false"/>
    <row r="67" customFormat="false" ht="13" hidden="false" customHeight="false" outlineLevel="0" collapsed="false"/>
    <row r="68" customFormat="false" ht="13" hidden="false" customHeight="false" outlineLevel="0" collapsed="false"/>
    <row r="69" customFormat="false" ht="13" hidden="false" customHeight="false" outlineLevel="0" collapsed="false"/>
    <row r="70" customFormat="false" ht="13" hidden="false" customHeight="false" outlineLevel="0" collapsed="false"/>
    <row r="71" customFormat="false" ht="13" hidden="false" customHeight="false" outlineLevel="0" collapsed="false"/>
    <row r="72" customFormat="false" ht="13" hidden="false" customHeight="false" outlineLevel="0" collapsed="false"/>
    <row r="73" customFormat="false" ht="13" hidden="false" customHeight="false" outlineLevel="0" collapsed="false"/>
    <row r="74" customFormat="false" ht="13" hidden="false" customHeight="false" outlineLevel="0" collapsed="false"/>
    <row r="75" customFormat="false" ht="13" hidden="false" customHeight="false" outlineLevel="0" collapsed="false"/>
    <row r="76" customFormat="false" ht="13" hidden="false" customHeight="false" outlineLevel="0" collapsed="false"/>
    <row r="77" customFormat="false" ht="13" hidden="false" customHeight="false" outlineLevel="0" collapsed="false"/>
    <row r="78" customFormat="false" ht="13" hidden="false" customHeight="false" outlineLevel="0" collapsed="false"/>
    <row r="79" customFormat="false" ht="13" hidden="false" customHeight="false" outlineLevel="0" collapsed="false"/>
    <row r="80" customFormat="false" ht="13" hidden="false" customHeight="false" outlineLevel="0" collapsed="false"/>
    <row r="81" customFormat="false" ht="13" hidden="false" customHeight="false" outlineLevel="0" collapsed="false"/>
    <row r="82" customFormat="false" ht="13" hidden="false" customHeight="false" outlineLevel="0" collapsed="false"/>
    <row r="83" customFormat="false" ht="13" hidden="false" customHeight="false" outlineLevel="0" collapsed="false"/>
    <row r="84" customFormat="false" ht="13" hidden="false" customHeight="false" outlineLevel="0" collapsed="false"/>
    <row r="85" customFormat="false" ht="13" hidden="false" customHeight="false" outlineLevel="0" collapsed="false"/>
    <row r="86" customFormat="false" ht="13" hidden="false" customHeight="false" outlineLevel="0" collapsed="false"/>
    <row r="87" customFormat="false" ht="13" hidden="false" customHeight="false" outlineLevel="0" collapsed="false"/>
    <row r="88" customFormat="false" ht="13" hidden="false" customHeight="false" outlineLevel="0" collapsed="false"/>
    <row r="89" customFormat="false" ht="13" hidden="false" customHeight="false" outlineLevel="0" collapsed="false"/>
    <row r="90" customFormat="false" ht="13" hidden="false" customHeight="false" outlineLevel="0" collapsed="false"/>
    <row r="91" customFormat="false" ht="13" hidden="false" customHeight="false" outlineLevel="0" collapsed="false"/>
    <row r="92" customFormat="false" ht="13" hidden="false" customHeight="false" outlineLevel="0" collapsed="false"/>
    <row r="93" customFormat="false" ht="13" hidden="false" customHeight="false" outlineLevel="0" collapsed="false"/>
    <row r="94" customFormat="false" ht="13" hidden="false" customHeight="false" outlineLevel="0" collapsed="false"/>
    <row r="95" customFormat="false" ht="13" hidden="false" customHeight="false" outlineLevel="0" collapsed="false"/>
    <row r="96" customFormat="false" ht="13" hidden="false" customHeight="false" outlineLevel="0" collapsed="false"/>
    <row r="97" customFormat="false" ht="13" hidden="false" customHeight="false" outlineLevel="0" collapsed="false"/>
    <row r="98" customFormat="false" ht="13" hidden="false" customHeight="false" outlineLevel="0" collapsed="false"/>
    <row r="99" customFormat="false" ht="13" hidden="false" customHeight="false" outlineLevel="0" collapsed="false"/>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sheetData>
  <autoFilter ref="A1:D2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75" zeroHeight="false" outlineLevelRow="0" outlineLevelCol="0"/>
  <cols>
    <col collapsed="false" customWidth="true" hidden="false" outlineLevel="0" max="1" min="1" style="0" width="6.66"/>
    <col collapsed="false" customWidth="true" hidden="false" outlineLevel="0" max="2" min="2" style="0" width="29.66"/>
    <col collapsed="false" customWidth="true" hidden="false" outlineLevel="0" max="3" min="3" style="0" width="28.5"/>
    <col collapsed="false" customWidth="true" hidden="false" outlineLevel="0" max="4" min="4" style="0" width="14.5"/>
    <col collapsed="false" customWidth="true" hidden="false" outlineLevel="0" max="5" min="5" style="0" width="12.17"/>
    <col collapsed="false" customWidth="true" hidden="false" outlineLevel="0" max="1025" min="6" style="0" width="14.5"/>
  </cols>
  <sheetData>
    <row r="1" customFormat="false" ht="15.75" hidden="false" customHeight="true" outlineLevel="0" collapsed="false">
      <c r="A1" s="1" t="str">
        <f aca="false">Productos!A1</f>
        <v>SKU</v>
      </c>
      <c r="B1" s="1" t="str">
        <f aca="false">Productos!B1</f>
        <v>Nombre</v>
      </c>
      <c r="C1" s="1" t="str">
        <f aca="false">Productos!C1</f>
        <v>Descripción</v>
      </c>
      <c r="D1" s="1" t="str">
        <f aca="false">Productos!M1</f>
        <v>Grupos Productores</v>
      </c>
      <c r="E1" s="2" t="str">
        <f aca="false">Productos!N1</f>
        <v>Total Grupos Productores</v>
      </c>
    </row>
    <row r="2" customFormat="false" ht="15.75" hidden="false" customHeight="true" outlineLevel="0" collapsed="false">
      <c r="A2" s="4" t="n">
        <f aca="false">Productos!A2</f>
        <v>1001</v>
      </c>
      <c r="B2" s="4" t="str">
        <f aca="false">Productos!B2</f>
        <v>Arroz grano corto</v>
      </c>
      <c r="C2" s="5" t="str">
        <f aca="false">Productos!C2</f>
        <v>Arroz crudo grano corto, especial para sushi</v>
      </c>
      <c r="D2" s="8" t="str">
        <f aca="false">Productos!M2</f>
        <v>1,2,3,4,5,6,7,8,9,10,11,12,13,14</v>
      </c>
      <c r="E2" s="7" t="n">
        <f aca="false">Productos!N2</f>
        <v>14</v>
      </c>
    </row>
    <row r="3" customFormat="false" ht="15.75" hidden="false" customHeight="true" outlineLevel="0" collapsed="false">
      <c r="A3" s="4" t="n">
        <f aca="false">Productos!A3</f>
        <v>1002</v>
      </c>
      <c r="B3" s="4" t="str">
        <f aca="false">Productos!B3</f>
        <v>Vinagre de arroz</v>
      </c>
      <c r="C3" s="5" t="n">
        <f aca="false">Productos!C3</f>
        <v>0</v>
      </c>
      <c r="D3" s="8" t="str">
        <f aca="false">Productos!M3</f>
        <v>1,2,3,6,8,9</v>
      </c>
      <c r="E3" s="7" t="n">
        <f aca="false">Productos!N3</f>
        <v>6</v>
      </c>
    </row>
    <row r="4" customFormat="false" ht="15.75" hidden="false" customHeight="true" outlineLevel="0" collapsed="false">
      <c r="A4" s="4" t="n">
        <f aca="false">Productos!A4</f>
        <v>1003</v>
      </c>
      <c r="B4" s="4" t="str">
        <f aca="false">Productos!B4</f>
        <v>Azúcar</v>
      </c>
      <c r="C4" s="5" t="str">
        <f aca="false">Productos!C4</f>
        <v>Azúcar granel</v>
      </c>
      <c r="D4" s="8" t="str">
        <f aca="false">Productos!M4</f>
        <v>6,7,8,11,12,13</v>
      </c>
      <c r="E4" s="7" t="n">
        <f aca="false">Productos!N4</f>
        <v>6</v>
      </c>
    </row>
    <row r="5" customFormat="false" ht="15.75" hidden="false" customHeight="true" outlineLevel="0" collapsed="false">
      <c r="A5" s="4" t="n">
        <f aca="false">Productos!A5</f>
        <v>1004</v>
      </c>
      <c r="B5" s="4" t="str">
        <f aca="false">Productos!B5</f>
        <v>Sal</v>
      </c>
      <c r="C5" s="5" t="str">
        <f aca="false">Productos!C5</f>
        <v>Sal granel</v>
      </c>
      <c r="D5" s="8" t="str">
        <f aca="false">Productos!M5</f>
        <v>3,4,9,10,13,14</v>
      </c>
      <c r="E5" s="7" t="n">
        <f aca="false">Productos!N5</f>
        <v>6</v>
      </c>
    </row>
    <row r="6" customFormat="false" ht="15.75" hidden="false" customHeight="true" outlineLevel="0" collapsed="false">
      <c r="A6" s="4" t="n">
        <f aca="false">Productos!A6</f>
        <v>1005</v>
      </c>
      <c r="B6" s="4" t="str">
        <f aca="false">Productos!B6</f>
        <v>Kanikama entero</v>
      </c>
      <c r="C6" s="5" t="n">
        <f aca="false">Productos!C6</f>
        <v>0</v>
      </c>
      <c r="D6" s="8" t="str">
        <f aca="false">Productos!M6</f>
        <v>1,4,5,6,8,12</v>
      </c>
      <c r="E6" s="7" t="n">
        <f aca="false">Productos!N6</f>
        <v>6</v>
      </c>
    </row>
    <row r="7" customFormat="false" ht="15.75" hidden="false" customHeight="true" outlineLevel="0" collapsed="false">
      <c r="A7" s="4" t="n">
        <f aca="false">Productos!A7</f>
        <v>1006</v>
      </c>
      <c r="B7" s="4" t="str">
        <f aca="false">Productos!B7</f>
        <v>Camarón</v>
      </c>
      <c r="C7" s="5" t="str">
        <f aca="false">Productos!C7</f>
        <v>Camarón congelado a granel</v>
      </c>
      <c r="D7" s="8" t="str">
        <f aca="false">Productos!M7</f>
        <v>2,3,4,5,7,8</v>
      </c>
      <c r="E7" s="7" t="n">
        <f aca="false">Productos!N7</f>
        <v>6</v>
      </c>
    </row>
    <row r="8" customFormat="false" ht="15.75" hidden="false" customHeight="true" outlineLevel="0" collapsed="false">
      <c r="A8" s="4" t="n">
        <f aca="false">Productos!A8</f>
        <v>1007</v>
      </c>
      <c r="B8" s="4" t="str">
        <f aca="false">Productos!B8</f>
        <v>Filete de salmón</v>
      </c>
      <c r="C8" s="5" t="str">
        <f aca="false">Productos!C8</f>
        <v>Filete de salmón fresco</v>
      </c>
      <c r="D8" s="8" t="str">
        <f aca="false">Productos!M8</f>
        <v>5,6,7,10,11,13</v>
      </c>
      <c r="E8" s="7" t="n">
        <f aca="false">Productos!N8</f>
        <v>6</v>
      </c>
    </row>
    <row r="9" customFormat="false" ht="15.75" hidden="false" customHeight="true" outlineLevel="0" collapsed="false">
      <c r="A9" s="4" t="n">
        <f aca="false">Productos!A9</f>
        <v>1008</v>
      </c>
      <c r="B9" s="4" t="str">
        <f aca="false">Productos!B9</f>
        <v>Filete de salmón ahumado</v>
      </c>
      <c r="C9" s="5" t="str">
        <f aca="false">Productos!C9</f>
        <v>Filete de salmón ahudo para preparaciones</v>
      </c>
      <c r="D9" s="8" t="str">
        <f aca="false">Productos!M9</f>
        <v>1,5,7,9,10,14</v>
      </c>
      <c r="E9" s="7" t="n">
        <f aca="false">Productos!N9</f>
        <v>6</v>
      </c>
    </row>
    <row r="10" customFormat="false" ht="15.75" hidden="false" customHeight="true" outlineLevel="0" collapsed="false">
      <c r="A10" s="4" t="n">
        <f aca="false">Productos!A10</f>
        <v>1009</v>
      </c>
      <c r="B10" s="4" t="str">
        <f aca="false">Productos!B10</f>
        <v>Filete de atún</v>
      </c>
      <c r="C10" s="5" t="str">
        <f aca="false">Productos!C10</f>
        <v>Filete de atún fresco</v>
      </c>
      <c r="D10" s="8" t="str">
        <f aca="false">Productos!M10</f>
        <v>1,4,8,9,12,14</v>
      </c>
      <c r="E10" s="7" t="n">
        <f aca="false">Productos!N10</f>
        <v>6</v>
      </c>
    </row>
    <row r="11" customFormat="false" ht="15.75" hidden="false" customHeight="true" outlineLevel="0" collapsed="false">
      <c r="A11" s="4" t="n">
        <f aca="false">Productos!A11</f>
        <v>1010</v>
      </c>
      <c r="B11" s="4" t="str">
        <f aca="false">Productos!B11</f>
        <v>Palta</v>
      </c>
      <c r="C11" s="5" t="str">
        <f aca="false">Productos!C11</f>
        <v>Palta entera</v>
      </c>
      <c r="D11" s="8" t="str">
        <f aca="false">Productos!M11</f>
        <v>1,2,3,9,10,13</v>
      </c>
      <c r="E11" s="7" t="n">
        <f aca="false">Productos!N11</f>
        <v>6</v>
      </c>
    </row>
    <row r="12" customFormat="false" ht="15.75" hidden="false" customHeight="true" outlineLevel="0" collapsed="false">
      <c r="A12" s="4" t="n">
        <f aca="false">Productos!A12</f>
        <v>1011</v>
      </c>
      <c r="B12" s="4" t="str">
        <f aca="false">Productos!B12</f>
        <v>Sésamo</v>
      </c>
      <c r="C12" s="5" t="str">
        <f aca="false">Productos!C12</f>
        <v>Sésamo granel</v>
      </c>
      <c r="D12" s="8" t="str">
        <f aca="false">Productos!M12</f>
        <v>2,5,7,10,11,12</v>
      </c>
      <c r="E12" s="7" t="n">
        <f aca="false">Productos!N12</f>
        <v>6</v>
      </c>
    </row>
    <row r="13" customFormat="false" ht="15.75" hidden="false" customHeight="true" outlineLevel="0" collapsed="false">
      <c r="A13" s="4" t="n">
        <f aca="false">Productos!A13</f>
        <v>1012</v>
      </c>
      <c r="B13" s="4" t="str">
        <f aca="false">Productos!B13</f>
        <v>Queso crema</v>
      </c>
      <c r="C13" s="5" t="str">
        <f aca="false">Productos!C13</f>
        <v>Queso crema granel</v>
      </c>
      <c r="D13" s="8" t="str">
        <f aca="false">Productos!M13</f>
        <v>2,6,11,12,13,14</v>
      </c>
      <c r="E13" s="7" t="n">
        <f aca="false">Productos!N13</f>
        <v>6</v>
      </c>
    </row>
    <row r="14" customFormat="false" ht="15.75" hidden="false" customHeight="true" outlineLevel="0" collapsed="false">
      <c r="A14" s="4" t="n">
        <f aca="false">Productos!A14</f>
        <v>1013</v>
      </c>
      <c r="B14" s="4" t="str">
        <f aca="false">Productos!B14</f>
        <v>Masago</v>
      </c>
      <c r="C14" s="5" t="str">
        <f aca="false">Productos!C14</f>
        <v>Huevos de Capelán</v>
      </c>
      <c r="D14" s="8" t="str">
        <f aca="false">Productos!M14</f>
        <v>7,9,10,11,13,14</v>
      </c>
      <c r="E14" s="7" t="n">
        <f aca="false">Productos!N14</f>
        <v>6</v>
      </c>
    </row>
    <row r="15" customFormat="false" ht="15.75" hidden="false" customHeight="true" outlineLevel="0" collapsed="false">
      <c r="A15" s="4" t="n">
        <f aca="false">Productos!A15</f>
        <v>1014</v>
      </c>
      <c r="B15" s="4" t="str">
        <f aca="false">Productos!B15</f>
        <v>Cebollín entero</v>
      </c>
      <c r="C15" s="5" t="str">
        <f aca="false">Productos!C15</f>
        <v>Unidad de cebollín entero, con tallo y hojas</v>
      </c>
      <c r="D15" s="8" t="str">
        <f aca="false">Productos!M15</f>
        <v>2,3,4,5,8,11</v>
      </c>
      <c r="E15" s="7" t="n">
        <f aca="false">Productos!N15</f>
        <v>6</v>
      </c>
    </row>
    <row r="16" customFormat="false" ht="15.75" hidden="false" customHeight="true" outlineLevel="0" collapsed="false">
      <c r="A16" s="4" t="n">
        <f aca="false">Productos!A16</f>
        <v>1015</v>
      </c>
      <c r="B16" s="4" t="str">
        <f aca="false">Productos!B16</f>
        <v>Ciboulette entero</v>
      </c>
      <c r="C16" s="5" t="str">
        <f aca="false">Productos!C16</f>
        <v>Ciboulette fresco a granel, entero</v>
      </c>
      <c r="D16" s="8" t="str">
        <f aca="false">Productos!M16</f>
        <v>1,3,4,6,12,14</v>
      </c>
      <c r="E16" s="7" t="n">
        <f aca="false">Productos!N16</f>
        <v>6</v>
      </c>
    </row>
    <row r="17" customFormat="false" ht="15.75" hidden="false" customHeight="true" outlineLevel="0" collapsed="false">
      <c r="A17" s="4" t="n">
        <f aca="false">Productos!A17</f>
        <v>1016</v>
      </c>
      <c r="B17" s="4" t="str">
        <f aca="false">Productos!B17</f>
        <v>Nori entero</v>
      </c>
      <c r="C17" s="5" t="str">
        <f aca="false">Productos!C17</f>
        <v>Alga Nori deshidratada entera</v>
      </c>
      <c r="D17" s="8" t="str">
        <f aca="false">Productos!M17</f>
        <v>1,2,3,4,5,6,7,8,9,10,11,12,13,14</v>
      </c>
      <c r="E17" s="7" t="n">
        <f aca="false">Productos!N17</f>
        <v>14</v>
      </c>
    </row>
    <row r="18" customFormat="false" ht="15.75" hidden="false" customHeight="true" outlineLevel="0" collapsed="false">
      <c r="A18" s="4" t="n">
        <f aca="false">Productos!A18</f>
        <v>1101</v>
      </c>
      <c r="B18" s="4" t="str">
        <f aca="false">Productos!B18</f>
        <v>Arroz cocido</v>
      </c>
      <c r="C18" s="5" t="str">
        <f aca="false">Productos!C18</f>
        <v>Arroz cocido para sushi, con vinagre de arroz, azúcar y sal</v>
      </c>
      <c r="D18" s="8" t="str">
        <f aca="false">Productos!M18</f>
        <v>1,2,3,4,5,6,7,8,9,10,11,12,13,14</v>
      </c>
      <c r="E18" s="7" t="n">
        <f aca="false">Productos!N18</f>
        <v>14</v>
      </c>
    </row>
    <row r="19" customFormat="false" ht="15.75" hidden="false" customHeight="true" outlineLevel="0" collapsed="false">
      <c r="A19" s="4" t="n">
        <f aca="false">Productos!A19</f>
        <v>1105</v>
      </c>
      <c r="B19" s="4" t="str">
        <f aca="false">Productos!B19</f>
        <v>Kanikama para roll</v>
      </c>
      <c r="C19" s="5" t="str">
        <f aca="false">Productos!C19</f>
        <v>Kanikama cortado y porcionado para un roll </v>
      </c>
      <c r="D19" s="8" t="str">
        <f aca="false">Productos!M19</f>
        <v>1,2,3,4,5,6,7,8,9,10,11,12,13,14</v>
      </c>
      <c r="E19" s="7" t="n">
        <f aca="false">Productos!N19</f>
        <v>14</v>
      </c>
    </row>
    <row r="20" customFormat="false" ht="15.75" hidden="false" customHeight="true" outlineLevel="0" collapsed="false">
      <c r="A20" s="4" t="n">
        <f aca="false">Productos!A20</f>
        <v>1106</v>
      </c>
      <c r="B20" s="4" t="str">
        <f aca="false">Productos!B20</f>
        <v>Camarón cocido</v>
      </c>
      <c r="C20" s="5" t="str">
        <f aca="false">Productos!C20</f>
        <v>Camarón cocido al agua, porcionado para un roll o nigiri</v>
      </c>
      <c r="D20" s="8" t="str">
        <f aca="false">Productos!M20</f>
        <v>1,2,3,4,5,6,7,8,9,10,11,12,13,14</v>
      </c>
      <c r="E20" s="7" t="n">
        <f aca="false">Productos!N20</f>
        <v>14</v>
      </c>
    </row>
    <row r="21" customFormat="false" ht="15.75" hidden="false" customHeight="true" outlineLevel="0" collapsed="false">
      <c r="A21" s="4" t="n">
        <f aca="false">Productos!A21</f>
        <v>1107</v>
      </c>
      <c r="B21" s="4" t="str">
        <f aca="false">Productos!B21</f>
        <v>Salmón cortado para roll</v>
      </c>
      <c r="C21" s="5" t="str">
        <f aca="false">Productos!C21</f>
        <v>Filete de salmón cortado y porcionado para un roll</v>
      </c>
      <c r="D21" s="8" t="str">
        <f aca="false">Productos!M21</f>
        <v>1,2,3,4,5,6,7,8,9,10,11,12,13,14</v>
      </c>
      <c r="E21" s="7" t="n">
        <f aca="false">Productos!N21</f>
        <v>14</v>
      </c>
    </row>
    <row r="22" customFormat="false" ht="15.75" hidden="false" customHeight="true" outlineLevel="0" collapsed="false">
      <c r="A22" s="4" t="n">
        <f aca="false">Productos!A22</f>
        <v>1108</v>
      </c>
      <c r="B22" s="4" t="str">
        <f aca="false">Productos!B22</f>
        <v>Salmón ahumado cortado para roll</v>
      </c>
      <c r="C22" s="5" t="str">
        <f aca="false">Productos!C22</f>
        <v>Filete de salmón ahumado cortado y porcionado para un roll</v>
      </c>
      <c r="D22" s="8" t="str">
        <f aca="false">Productos!M22</f>
        <v>1,2,3,4,5,6,7,8,9,10,11,12,13,14</v>
      </c>
      <c r="E22" s="7" t="n">
        <f aca="false">Productos!N22</f>
        <v>14</v>
      </c>
    </row>
    <row r="23" customFormat="false" ht="15.75" hidden="false" customHeight="true" outlineLevel="0" collapsed="false">
      <c r="A23" s="4" t="n">
        <f aca="false">Productos!A23</f>
        <v>1109</v>
      </c>
      <c r="B23" s="4" t="str">
        <f aca="false">Productos!B23</f>
        <v>Atún cortado para roll</v>
      </c>
      <c r="C23" s="5" t="str">
        <f aca="false">Productos!C23</f>
        <v>Filete de atún cortado y porcionado para un roll</v>
      </c>
      <c r="D23" s="8" t="str">
        <f aca="false">Productos!M23</f>
        <v>1,2,3,4,5,6,7,8,9,10,11,12,13,14</v>
      </c>
      <c r="E23" s="7" t="n">
        <f aca="false">Productos!N23</f>
        <v>14</v>
      </c>
    </row>
    <row r="24" customFormat="false" ht="15.75" hidden="false" customHeight="true" outlineLevel="0" collapsed="false">
      <c r="A24" s="4" t="n">
        <f aca="false">Productos!A24</f>
        <v>1110</v>
      </c>
      <c r="B24" s="4" t="str">
        <f aca="false">Productos!B24</f>
        <v>Palta cortada para envoltura</v>
      </c>
      <c r="C24" s="5" t="str">
        <f aca="false">Productos!C24</f>
        <v>Palta fileteada para envoltura de un roll</v>
      </c>
      <c r="D24" s="8" t="str">
        <f aca="false">Productos!M24</f>
        <v>1,2,3,4,5,6,7,8,9,10,11,12,13,14</v>
      </c>
      <c r="E24" s="7" t="n">
        <f aca="false">Productos!N24</f>
        <v>14</v>
      </c>
    </row>
    <row r="25" customFormat="false" ht="15.75" hidden="false" customHeight="true" outlineLevel="0" collapsed="false">
      <c r="A25" s="4" t="n">
        <f aca="false">Productos!A25</f>
        <v>1111</v>
      </c>
      <c r="B25" s="4" t="str">
        <f aca="false">Productos!B25</f>
        <v>Sésamo tostado</v>
      </c>
      <c r="C25" s="5" t="str">
        <f aca="false">Productos!C25</f>
        <v>Sésamo tostado</v>
      </c>
      <c r="D25" s="8" t="str">
        <f aca="false">Productos!M25</f>
        <v>1,2,3,4,5,6,7,8,9,10,11,12,13,14</v>
      </c>
      <c r="E25" s="7" t="n">
        <f aca="false">Productos!N25</f>
        <v>14</v>
      </c>
    </row>
    <row r="26" customFormat="false" ht="15.75" hidden="false" customHeight="true" outlineLevel="0" collapsed="false">
      <c r="A26" s="4" t="n">
        <f aca="false">Productos!A26</f>
        <v>1112</v>
      </c>
      <c r="B26" s="4" t="str">
        <f aca="false">Productos!B26</f>
        <v>Queso crema para roll</v>
      </c>
      <c r="C26" s="5" t="str">
        <f aca="false">Productos!C26</f>
        <v>Queso crema porcionado para un roll o nigiri</v>
      </c>
      <c r="D26" s="8" t="str">
        <f aca="false">Productos!M26</f>
        <v>1,2,3,4,5,6,7,8,9,10,11,12,13,14</v>
      </c>
      <c r="E26" s="7" t="n">
        <f aca="false">Productos!N26</f>
        <v>14</v>
      </c>
    </row>
    <row r="27" customFormat="false" ht="15.75" hidden="false" customHeight="true" outlineLevel="0" collapsed="false">
      <c r="A27" s="4" t="n">
        <f aca="false">Productos!A27</f>
        <v>1114</v>
      </c>
      <c r="B27" s="4" t="str">
        <f aca="false">Productos!B27</f>
        <v>Cebollín cortado para roll</v>
      </c>
      <c r="C27" s="5" t="str">
        <f aca="false">Productos!C27</f>
        <v>Cebollín cortado y porcionado para un roll</v>
      </c>
      <c r="D27" s="8" t="str">
        <f aca="false">Productos!M27</f>
        <v>1,2,3,4,5,6,7,8,9,10,11,12,13,14</v>
      </c>
      <c r="E27" s="7" t="n">
        <f aca="false">Productos!N27</f>
        <v>14</v>
      </c>
    </row>
    <row r="28" customFormat="false" ht="15.75" hidden="false" customHeight="true" outlineLevel="0" collapsed="false">
      <c r="A28" s="4" t="n">
        <f aca="false">Productos!A28</f>
        <v>1115</v>
      </c>
      <c r="B28" s="4" t="str">
        <f aca="false">Productos!B28</f>
        <v>Ciboulette picado para roll</v>
      </c>
      <c r="C28" s="5" t="str">
        <f aca="false">Productos!C28</f>
        <v>Ciboulette cortado y porcionado para un roll</v>
      </c>
      <c r="D28" s="8" t="str">
        <f aca="false">Productos!M28</f>
        <v>1,2,3,4,5,6,7,8,9,10,11,12,13,14</v>
      </c>
      <c r="E28" s="7" t="n">
        <f aca="false">Productos!N28</f>
        <v>14</v>
      </c>
    </row>
    <row r="29" customFormat="false" ht="15.75" hidden="false" customHeight="true" outlineLevel="0" collapsed="false">
      <c r="A29" s="4" t="n">
        <f aca="false">Productos!A29</f>
        <v>1116</v>
      </c>
      <c r="B29" s="4" t="str">
        <f aca="false">Productos!B29</f>
        <v>Nori entero cortado para roll</v>
      </c>
      <c r="C29" s="5" t="str">
        <f aca="false">Productos!C29</f>
        <v>Alga Nori cortada para relleno interior de roll</v>
      </c>
      <c r="D29" s="8" t="str">
        <f aca="false">Productos!M29</f>
        <v>1,2,3,4,5,6,7,8,9,10,11,12,13,14</v>
      </c>
      <c r="E29" s="7" t="n">
        <f aca="false">Productos!N29</f>
        <v>14</v>
      </c>
    </row>
    <row r="30" customFormat="false" ht="15.75" hidden="false" customHeight="true" outlineLevel="0" collapsed="false">
      <c r="A30" s="4" t="n">
        <f aca="false">Productos!A30</f>
        <v>1201</v>
      </c>
      <c r="B30" s="4" t="str">
        <f aca="false">Productos!B30</f>
        <v>Arroz cocido para roll</v>
      </c>
      <c r="C30" s="5" t="str">
        <f aca="false">Productos!C30</f>
        <v>Arroz cocido, porcionado para un roll</v>
      </c>
      <c r="D30" s="8" t="str">
        <f aca="false">Productos!M30</f>
        <v>1,2,3,4,5,6,7,8,9,10,11,12,13,14</v>
      </c>
      <c r="E30" s="7" t="n">
        <f aca="false">Productos!N30</f>
        <v>14</v>
      </c>
    </row>
    <row r="31" customFormat="false" ht="15.75" hidden="false" customHeight="true" outlineLevel="0" collapsed="false">
      <c r="A31" s="4" t="n">
        <f aca="false">Productos!A31</f>
        <v>1207</v>
      </c>
      <c r="B31" s="4" t="str">
        <f aca="false">Productos!B31</f>
        <v>Salmón cortado para nigiri</v>
      </c>
      <c r="C31" s="5" t="str">
        <f aca="false">Productos!C31</f>
        <v>Filete de salmón cortado y porcionado para nigiri</v>
      </c>
      <c r="D31" s="8" t="str">
        <f aca="false">Productos!M31</f>
        <v>1,2,3,4,5,6,7,8,9,10,11,12,13,14</v>
      </c>
      <c r="E31" s="7" t="n">
        <f aca="false">Productos!N31</f>
        <v>14</v>
      </c>
    </row>
    <row r="32" customFormat="false" ht="15.75" hidden="false" customHeight="true" outlineLevel="0" collapsed="false">
      <c r="A32" s="4" t="n">
        <f aca="false">Productos!A32</f>
        <v>1209</v>
      </c>
      <c r="B32" s="4" t="str">
        <f aca="false">Productos!B32</f>
        <v>Atún cortado para nigiri</v>
      </c>
      <c r="C32" s="5" t="str">
        <f aca="false">Productos!C32</f>
        <v>Filete de atún cortado y porcionado para nigiri</v>
      </c>
      <c r="D32" s="8" t="str">
        <f aca="false">Productos!M32</f>
        <v>1,2,3,4,5,6,7,8,9,10,11,12,13,14</v>
      </c>
      <c r="E32" s="7" t="n">
        <f aca="false">Productos!N32</f>
        <v>14</v>
      </c>
    </row>
    <row r="33" customFormat="false" ht="15.75" hidden="false" customHeight="true" outlineLevel="0" collapsed="false">
      <c r="A33" s="4" t="n">
        <f aca="false">Productos!A33</f>
        <v>1210</v>
      </c>
      <c r="B33" s="4" t="str">
        <f aca="false">Productos!B33</f>
        <v>Palta cortada para roll</v>
      </c>
      <c r="C33" s="5" t="str">
        <f aca="false">Productos!C33</f>
        <v>Palta cortada en cubos, porcionada para un roll con palta</v>
      </c>
      <c r="D33" s="8" t="str">
        <f aca="false">Productos!M33</f>
        <v>1,2,3,4,5,6,7,8,9,10,11,12,13,14</v>
      </c>
      <c r="E33" s="7" t="n">
        <f aca="false">Productos!N33</f>
        <v>14</v>
      </c>
    </row>
    <row r="34" customFormat="false" ht="15.75" hidden="false" customHeight="true" outlineLevel="0" collapsed="false">
      <c r="A34" s="4" t="n">
        <f aca="false">Productos!A34</f>
        <v>1211</v>
      </c>
      <c r="B34" s="4" t="str">
        <f aca="false">Productos!B34</f>
        <v>Sésamo tostado para envoltura</v>
      </c>
      <c r="C34" s="5" t="str">
        <f aca="false">Productos!C34</f>
        <v>Sésamo tostado, porcionado para envoltura de un roll</v>
      </c>
      <c r="D34" s="8" t="str">
        <f aca="false">Productos!M34</f>
        <v>1,2,3,4,5,6,7,8,9,10,11,12,13,14</v>
      </c>
      <c r="E34" s="7" t="n">
        <f aca="false">Productos!N34</f>
        <v>14</v>
      </c>
    </row>
    <row r="35" customFormat="false" ht="15.75" hidden="false" customHeight="true" outlineLevel="0" collapsed="false">
      <c r="A35" s="4" t="n">
        <f aca="false">Productos!A35</f>
        <v>1215</v>
      </c>
      <c r="B35" s="4" t="str">
        <f aca="false">Productos!B35</f>
        <v>Ciboulette picado para envoltura</v>
      </c>
      <c r="C35" s="5" t="str">
        <f aca="false">Productos!C35</f>
        <v>Ciboulette cortado finamente para ser usado de envoltura</v>
      </c>
      <c r="D35" s="8" t="str">
        <f aca="false">Productos!M35</f>
        <v>1,2,3,4,5,6,7,8,9,10,11,12,13,14</v>
      </c>
      <c r="E35" s="7" t="n">
        <f aca="false">Productos!N35</f>
        <v>14</v>
      </c>
    </row>
    <row r="36" customFormat="false" ht="15.75" hidden="false" customHeight="true" outlineLevel="0" collapsed="false">
      <c r="A36" s="4" t="n">
        <f aca="false">Productos!A36</f>
        <v>1216</v>
      </c>
      <c r="B36" s="4" t="str">
        <f aca="false">Productos!B36</f>
        <v>Nori entero cortado para nigiri</v>
      </c>
      <c r="C36" s="5" t="str">
        <f aca="false">Productos!C36</f>
        <v>Alga Nori cortada envolver nigiri</v>
      </c>
      <c r="D36" s="8" t="str">
        <f aca="false">Productos!M36</f>
        <v>1,2,3,4,5,6,7,8,9,10,11,12,13,14</v>
      </c>
      <c r="E36" s="7" t="n">
        <f aca="false">Productos!N36</f>
        <v>14</v>
      </c>
    </row>
    <row r="37" customFormat="false" ht="15.75" hidden="false" customHeight="true" outlineLevel="0" collapsed="false">
      <c r="A37" s="4" t="n">
        <f aca="false">Productos!A37</f>
        <v>1301</v>
      </c>
      <c r="B37" s="4" t="str">
        <f aca="false">Productos!B37</f>
        <v>Arroz cocido para nigiri</v>
      </c>
      <c r="C37" s="5" t="str">
        <f aca="false">Productos!C37</f>
        <v>Arroz cocido, pocionado para nigiri</v>
      </c>
      <c r="D37" s="8" t="str">
        <f aca="false">Productos!M37</f>
        <v>1,2,3,4,5,6,7,8,9,10,11,12,13,14</v>
      </c>
      <c r="E37" s="7" t="n">
        <f aca="false">Productos!N37</f>
        <v>14</v>
      </c>
    </row>
    <row r="38" customFormat="false" ht="15.75" hidden="false" customHeight="true" outlineLevel="0" collapsed="false">
      <c r="A38" s="4" t="n">
        <f aca="false">Productos!A38</f>
        <v>1307</v>
      </c>
      <c r="B38" s="4" t="str">
        <f aca="false">Productos!B38</f>
        <v>Salmón cortado para sashimi</v>
      </c>
      <c r="C38" s="5" t="str">
        <f aca="false">Productos!C38</f>
        <v>Filete de salmón cortado para sashimi, porcionado en 3 cortes</v>
      </c>
      <c r="D38" s="8" t="str">
        <f aca="false">Productos!M38</f>
        <v>1,2,3,4,5,6,7,8,9,10,11,12,13,14</v>
      </c>
      <c r="E38" s="7" t="n">
        <f aca="false">Productos!N38</f>
        <v>14</v>
      </c>
    </row>
    <row r="39" customFormat="false" ht="15.75" hidden="false" customHeight="true" outlineLevel="0" collapsed="false">
      <c r="A39" s="4" t="n">
        <f aca="false">Productos!A39</f>
        <v>1309</v>
      </c>
      <c r="B39" s="4" t="str">
        <f aca="false">Productos!B39</f>
        <v>Atún cortado para sashimi</v>
      </c>
      <c r="C39" s="5" t="str">
        <f aca="false">Productos!C39</f>
        <v>Filete de atún cortado para sashimi, porcionado en 3 cortes</v>
      </c>
      <c r="D39" s="8" t="str">
        <f aca="false">Productos!M39</f>
        <v>1,2,3,4,5,6,7,8,9,10,11,12,13,14</v>
      </c>
      <c r="E39" s="7" t="n">
        <f aca="false">Productos!N39</f>
        <v>14</v>
      </c>
    </row>
    <row r="40" customFormat="false" ht="15.75" hidden="false" customHeight="true" outlineLevel="0" collapsed="false">
      <c r="A40" s="4" t="n">
        <f aca="false">Productos!A40</f>
        <v>1310</v>
      </c>
      <c r="B40" s="4" t="str">
        <f aca="false">Productos!B40</f>
        <v>Palta cortada para nigiri</v>
      </c>
      <c r="C40" s="5" t="str">
        <f aca="false">Productos!C40</f>
        <v>Palta cortada en láminas, porcionada para nigiri con palta</v>
      </c>
      <c r="D40" s="8" t="str">
        <f aca="false">Productos!M40</f>
        <v>1,2,3,4,5,6,7,8,9,10,11,12,13,14</v>
      </c>
      <c r="E40" s="7" t="n">
        <f aca="false">Productos!N40</f>
        <v>14</v>
      </c>
    </row>
    <row r="41" customFormat="false" ht="15.75" hidden="false" customHeight="true" outlineLevel="0" collapsed="false">
      <c r="A41" s="4" t="n">
        <f aca="false">Productos!A41</f>
        <v>1407</v>
      </c>
      <c r="B41" s="4" t="str">
        <f aca="false">Productos!B41</f>
        <v>Salmón cortado para envoltura</v>
      </c>
      <c r="C41" s="5" t="str">
        <f aca="false">Productos!C41</f>
        <v>Salmón cortado finamente y porcionado para envoltura de roll</v>
      </c>
      <c r="D41" s="8" t="str">
        <f aca="false">Productos!M41</f>
        <v>1,2,3,4,5,6,7,8,9,10,11,12,13,14</v>
      </c>
      <c r="E41" s="7" t="n">
        <f aca="false">Productos!N41</f>
        <v>14</v>
      </c>
    </row>
    <row r="42" customFormat="false" ht="15.75" hidden="false" customHeight="true" outlineLevel="0" collapsed="false">
      <c r="A42" s="4" t="n">
        <f aca="false">Productos!A42</f>
        <v>10001</v>
      </c>
      <c r="B42" s="4" t="str">
        <f aca="false">Productos!B42</f>
        <v>California Maki Sésamo</v>
      </c>
      <c r="C42" s="5" t="str">
        <f aca="false">Productos!C42</f>
        <v>Roll kanikama, palta, envuelto en sésamo</v>
      </c>
      <c r="D42" s="8" t="str">
        <f aca="false">Productos!M42</f>
        <v>1,2,3,4,5,6,7,8,9,10,11,12,13,14</v>
      </c>
      <c r="E42" s="7" t="n">
        <f aca="false">Productos!N42</f>
        <v>14</v>
      </c>
    </row>
    <row r="43" customFormat="false" ht="15.75" hidden="false" customHeight="true" outlineLevel="0" collapsed="false">
      <c r="A43" s="4" t="n">
        <f aca="false">Productos!A43</f>
        <v>10002</v>
      </c>
      <c r="B43" s="4" t="str">
        <f aca="false">Productos!B43</f>
        <v>California Maki Masago</v>
      </c>
      <c r="C43" s="5" t="str">
        <f aca="false">Productos!C43</f>
        <v>Roll kanikama, palta, envuelto en masago</v>
      </c>
      <c r="D43" s="8" t="str">
        <f aca="false">Productos!M43</f>
        <v>1,2,3,4,5,6,7,8,9,10,11,12,13,14</v>
      </c>
      <c r="E43" s="7" t="n">
        <f aca="false">Productos!N43</f>
        <v>14</v>
      </c>
    </row>
    <row r="44" customFormat="false" ht="15.75" hidden="false" customHeight="true" outlineLevel="0" collapsed="false">
      <c r="A44" s="4" t="n">
        <f aca="false">Productos!A44</f>
        <v>10003</v>
      </c>
      <c r="B44" s="4" t="str">
        <f aca="false">Productos!B44</f>
        <v>California Maki Mix</v>
      </c>
      <c r="C44" s="5" t="str">
        <f aca="false">Productos!C44</f>
        <v>Roll kanikama, palta, envuelto en mezcla de masago y sésamo</v>
      </c>
      <c r="D44" s="8" t="str">
        <f aca="false">Productos!M44</f>
        <v>1,2,3,4,5,6,7,8,9,10,11,12,13,14</v>
      </c>
      <c r="E44" s="7" t="n">
        <f aca="false">Productos!N44</f>
        <v>14</v>
      </c>
    </row>
    <row r="45" customFormat="false" ht="22" hidden="false" customHeight="false" outlineLevel="0" collapsed="false">
      <c r="A45" s="4" t="n">
        <f aca="false">Productos!A45</f>
        <v>10004</v>
      </c>
      <c r="B45" s="4" t="str">
        <f aca="false">Productos!B45</f>
        <v>California Ebi Sésamo</v>
      </c>
      <c r="C45" s="5" t="str">
        <f aca="false">Productos!C45</f>
        <v>Roll con camarón, palta, envuelto en sésamo</v>
      </c>
      <c r="D45" s="8" t="str">
        <f aca="false">Productos!M45</f>
        <v>1,2,3,4,5,6,7,8,9,10,11,12,13,14</v>
      </c>
      <c r="E45" s="7" t="n">
        <f aca="false">Productos!N45</f>
        <v>14</v>
      </c>
    </row>
    <row r="46" customFormat="false" ht="22" hidden="false" customHeight="false" outlineLevel="0" collapsed="false">
      <c r="A46" s="4" t="n">
        <f aca="false">Productos!A46</f>
        <v>10005</v>
      </c>
      <c r="B46" s="4" t="str">
        <f aca="false">Productos!B46</f>
        <v>California Ebi Masago</v>
      </c>
      <c r="C46" s="5" t="str">
        <f aca="false">Productos!C46</f>
        <v>Roll con camarón, palta, envuelto en masago</v>
      </c>
      <c r="D46" s="8" t="str">
        <f aca="false">Productos!M46</f>
        <v>1,2,3,4,5,6,7,8,9,10,11,12,13,14</v>
      </c>
      <c r="E46" s="7" t="n">
        <f aca="false">Productos!N46</f>
        <v>14</v>
      </c>
    </row>
    <row r="47" customFormat="false" ht="22" hidden="false" customHeight="false" outlineLevel="0" collapsed="false">
      <c r="A47" s="4" t="n">
        <f aca="false">Productos!A47</f>
        <v>10006</v>
      </c>
      <c r="B47" s="4" t="str">
        <f aca="false">Productos!B47</f>
        <v>California Sake Sésamo</v>
      </c>
      <c r="C47" s="5" t="str">
        <f aca="false">Productos!C47</f>
        <v>Roll salmón, palta, envuelto en sésamo</v>
      </c>
      <c r="D47" s="8" t="str">
        <f aca="false">Productos!M47</f>
        <v>1,2,3,4,5,6,7,8,9,10,11,12,13,14</v>
      </c>
      <c r="E47" s="7" t="n">
        <f aca="false">Productos!N47</f>
        <v>14</v>
      </c>
    </row>
    <row r="48" customFormat="false" ht="22" hidden="false" customHeight="false" outlineLevel="0" collapsed="false">
      <c r="A48" s="4" t="n">
        <f aca="false">Productos!A48</f>
        <v>10007</v>
      </c>
      <c r="B48" s="4" t="str">
        <f aca="false">Productos!B48</f>
        <v>California Sake Masago</v>
      </c>
      <c r="C48" s="5" t="str">
        <f aca="false">Productos!C48</f>
        <v>Roll salmón, palta, envuelto en masago</v>
      </c>
      <c r="D48" s="8" t="str">
        <f aca="false">Productos!M48</f>
        <v>1,2,3,4,5,6,7,8,9,10,11,12,13,14</v>
      </c>
      <c r="E48" s="7" t="n">
        <f aca="false">Productos!N48</f>
        <v>14</v>
      </c>
    </row>
    <row r="49" customFormat="false" ht="22" hidden="false" customHeight="false" outlineLevel="0" collapsed="false">
      <c r="A49" s="4" t="n">
        <f aca="false">Productos!A49</f>
        <v>10008</v>
      </c>
      <c r="B49" s="4" t="str">
        <f aca="false">Productos!B49</f>
        <v>California Maguro Sésamo</v>
      </c>
      <c r="C49" s="5" t="str">
        <f aca="false">Productos!C49</f>
        <v>Roll atún, palta, envuelto en sésamo</v>
      </c>
      <c r="D49" s="8" t="str">
        <f aca="false">Productos!M49</f>
        <v>1,2,3,4,5,6,7,8,9,10,11,12,13,14</v>
      </c>
      <c r="E49" s="7" t="n">
        <f aca="false">Productos!N49</f>
        <v>14</v>
      </c>
    </row>
    <row r="50" customFormat="false" ht="22" hidden="false" customHeight="false" outlineLevel="0" collapsed="false">
      <c r="A50" s="4" t="n">
        <f aca="false">Productos!A50</f>
        <v>10009</v>
      </c>
      <c r="B50" s="4" t="str">
        <f aca="false">Productos!B50</f>
        <v>California Maguro Masago</v>
      </c>
      <c r="C50" s="5" t="str">
        <f aca="false">Productos!C50</f>
        <v>Roll atún, palta, envuelto en masago</v>
      </c>
      <c r="D50" s="8" t="str">
        <f aca="false">Productos!M50</f>
        <v>1,2,3,4,5,6,7,8,9,10,11,12,13,14</v>
      </c>
      <c r="E50" s="7" t="n">
        <f aca="false">Productos!N50</f>
        <v>14</v>
      </c>
    </row>
    <row r="51" customFormat="false" ht="22" hidden="false" customHeight="false" outlineLevel="0" collapsed="false">
      <c r="A51" s="4" t="n">
        <f aca="false">Productos!A51</f>
        <v>10010</v>
      </c>
      <c r="B51" s="4" t="str">
        <f aca="false">Productos!B51</f>
        <v>Ebi</v>
      </c>
      <c r="C51" s="5" t="str">
        <f aca="false">Productos!C51</f>
        <v>Roll con camarón y palta, envuelto en palta</v>
      </c>
      <c r="D51" s="8" t="str">
        <f aca="false">Productos!M51</f>
        <v>1,2,3,4,5,6,7,8,9,10,11,12,13,14</v>
      </c>
      <c r="E51" s="7" t="n">
        <f aca="false">Productos!N51</f>
        <v>14</v>
      </c>
    </row>
    <row r="52" customFormat="false" ht="22" hidden="false" customHeight="false" outlineLevel="0" collapsed="false">
      <c r="A52" s="4" t="n">
        <f aca="false">Productos!A52</f>
        <v>10011</v>
      </c>
      <c r="B52" s="4" t="str">
        <f aca="false">Productos!B52</f>
        <v>Ebi Especial</v>
      </c>
      <c r="C52" s="5" t="str">
        <f aca="false">Productos!C52</f>
        <v>Roll con camarón, queso crema, cebollín, envuelto en palta</v>
      </c>
      <c r="D52" s="8" t="str">
        <f aca="false">Productos!M52</f>
        <v>1,2,3,4,5,6,7,8,9,10,11,12,13,14</v>
      </c>
      <c r="E52" s="7" t="n">
        <f aca="false">Productos!N52</f>
        <v>14</v>
      </c>
    </row>
    <row r="53" customFormat="false" ht="22" hidden="false" customHeight="false" outlineLevel="0" collapsed="false">
      <c r="A53" s="4" t="n">
        <f aca="false">Productos!A53</f>
        <v>10012</v>
      </c>
      <c r="B53" s="4" t="str">
        <f aca="false">Productos!B53</f>
        <v>Turo</v>
      </c>
      <c r="C53" s="5" t="str">
        <f aca="false">Productos!C53</f>
        <v>Roll con salmón ahumado, camarón y queso crema, envuelto en palta</v>
      </c>
      <c r="D53" s="8" t="str">
        <f aca="false">Productos!M53</f>
        <v>1,2,3,4,5,6,7,8,9,10,11,12,13,14</v>
      </c>
      <c r="E53" s="7" t="n">
        <f aca="false">Productos!N53</f>
        <v>14</v>
      </c>
    </row>
    <row r="54" customFormat="false" ht="22" hidden="false" customHeight="false" outlineLevel="0" collapsed="false">
      <c r="A54" s="4" t="n">
        <f aca="false">Productos!A54</f>
        <v>10013</v>
      </c>
      <c r="B54" s="4" t="str">
        <f aca="false">Productos!B54</f>
        <v>Coca</v>
      </c>
      <c r="C54" s="5" t="str">
        <f aca="false">Productos!C54</f>
        <v>Roll con camarón y queso crema, envuelto en palta</v>
      </c>
      <c r="D54" s="8" t="str">
        <f aca="false">Productos!M54</f>
        <v>1,2,3,4,5,6,7,8,9,10,11,12,13,14</v>
      </c>
      <c r="E54" s="7" t="n">
        <f aca="false">Productos!N54</f>
        <v>14</v>
      </c>
    </row>
    <row r="55" customFormat="false" ht="22" hidden="false" customHeight="false" outlineLevel="0" collapsed="false">
      <c r="A55" s="4" t="n">
        <f aca="false">Productos!A55</f>
        <v>10014</v>
      </c>
      <c r="B55" s="4" t="str">
        <f aca="false">Productos!B55</f>
        <v>Akita</v>
      </c>
      <c r="C55" s="5" t="str">
        <f aca="false">Productos!C55</f>
        <v>Roll kanikama y queso crema, envuelto en palta</v>
      </c>
      <c r="D55" s="8" t="str">
        <f aca="false">Productos!M55</f>
        <v>1,2,3,4,5,6,7,8,9,10,11,12,13,14</v>
      </c>
      <c r="E55" s="7" t="n">
        <f aca="false">Productos!N55</f>
        <v>14</v>
      </c>
    </row>
    <row r="56" customFormat="false" ht="22" hidden="false" customHeight="false" outlineLevel="0" collapsed="false">
      <c r="A56" s="4" t="n">
        <f aca="false">Productos!A56</f>
        <v>10015</v>
      </c>
      <c r="B56" s="4" t="str">
        <f aca="false">Productos!B56</f>
        <v>Delicia</v>
      </c>
      <c r="C56" s="5" t="str">
        <f aca="false">Productos!C56</f>
        <v>Roll con camarón, queso crema y ciboulette, envuelto en palta</v>
      </c>
      <c r="D56" s="8" t="str">
        <f aca="false">Productos!M56</f>
        <v>1,2,3,4,5,6,7,8,9,10,11,12,13,14</v>
      </c>
      <c r="E56" s="7" t="n">
        <f aca="false">Productos!N56</f>
        <v>14</v>
      </c>
    </row>
    <row r="57" customFormat="false" ht="22" hidden="false" customHeight="false" outlineLevel="0" collapsed="false">
      <c r="A57" s="4" t="n">
        <f aca="false">Productos!A57</f>
        <v>10016</v>
      </c>
      <c r="B57" s="4" t="str">
        <f aca="false">Productos!B57</f>
        <v>Beto</v>
      </c>
      <c r="C57" s="5" t="str">
        <f aca="false">Productos!C57</f>
        <v>Roll con salmón, camarón y queso crema, envuelto en palta</v>
      </c>
      <c r="D57" s="8" t="str">
        <f aca="false">Productos!M57</f>
        <v>1,2,3,4,5,6,7,8,9,10,11,12,13,14</v>
      </c>
      <c r="E57" s="7" t="n">
        <f aca="false">Productos!N57</f>
        <v>14</v>
      </c>
    </row>
    <row r="58" customFormat="false" ht="22" hidden="false" customHeight="false" outlineLevel="0" collapsed="false">
      <c r="A58" s="4" t="n">
        <f aca="false">Productos!A58</f>
        <v>10017</v>
      </c>
      <c r="B58" s="4" t="str">
        <f aca="false">Productos!B58</f>
        <v>Avocado</v>
      </c>
      <c r="C58" s="5" t="str">
        <f aca="false">Productos!C58</f>
        <v>Roll salmón y queso crema, envuelto en palta</v>
      </c>
      <c r="D58" s="8" t="str">
        <f aca="false">Productos!M58</f>
        <v>1,2,3,4,5,6,7,8,9,10,11,12,13,14</v>
      </c>
      <c r="E58" s="7" t="n">
        <f aca="false">Productos!N58</f>
        <v>14</v>
      </c>
    </row>
    <row r="59" customFormat="false" ht="22" hidden="false" customHeight="false" outlineLevel="0" collapsed="false">
      <c r="A59" s="4" t="n">
        <f aca="false">Productos!A59</f>
        <v>10018</v>
      </c>
      <c r="B59" s="4" t="str">
        <f aca="false">Productos!B59</f>
        <v>Maki Salmón</v>
      </c>
      <c r="C59" s="5" t="str">
        <f aca="false">Productos!C59</f>
        <v>Kanikama, palta y queso crema envuelto en salmón</v>
      </c>
      <c r="D59" s="8" t="str">
        <f aca="false">Productos!M59</f>
        <v>1,2,3,4,5,6,7,8,9,10,11,12,13,14</v>
      </c>
      <c r="E59" s="7" t="n">
        <f aca="false">Productos!N59</f>
        <v>14</v>
      </c>
    </row>
    <row r="60" customFormat="false" ht="22" hidden="false" customHeight="false" outlineLevel="0" collapsed="false">
      <c r="A60" s="4" t="n">
        <f aca="false">Productos!A60</f>
        <v>10019</v>
      </c>
      <c r="B60" s="4" t="str">
        <f aca="false">Productos!B60</f>
        <v>Ebi Salmón</v>
      </c>
      <c r="C60" s="5" t="str">
        <f aca="false">Productos!C60</f>
        <v>Camarón y palta envuelto en salmón</v>
      </c>
      <c r="D60" s="8" t="str">
        <f aca="false">Productos!M60</f>
        <v>1,2,3,4,5,6,7,8,9,10,11,12,13,14</v>
      </c>
      <c r="E60" s="7" t="n">
        <f aca="false">Productos!N60</f>
        <v>14</v>
      </c>
    </row>
    <row r="61" customFormat="false" ht="22" hidden="false" customHeight="false" outlineLevel="0" collapsed="false">
      <c r="A61" s="4" t="n">
        <f aca="false">Productos!A61</f>
        <v>10020</v>
      </c>
      <c r="B61" s="4" t="str">
        <f aca="false">Productos!B61</f>
        <v>Ebi Salmón Especial</v>
      </c>
      <c r="C61" s="5" t="str">
        <f aca="false">Productos!C61</f>
        <v>Camarón, queso crema y cebollín, envuelto en salmón</v>
      </c>
      <c r="D61" s="8" t="str">
        <f aca="false">Productos!M61</f>
        <v>1,2,3,4,5,6,7,8,9,10,11,12,13,14</v>
      </c>
      <c r="E61" s="7" t="n">
        <f aca="false">Productos!N61</f>
        <v>14</v>
      </c>
    </row>
    <row r="62" customFormat="false" ht="22" hidden="false" customHeight="false" outlineLevel="0" collapsed="false">
      <c r="A62" s="4" t="n">
        <f aca="false">Productos!A62</f>
        <v>10021</v>
      </c>
      <c r="B62" s="4" t="str">
        <f aca="false">Productos!B62</f>
        <v>Maguro Salmón</v>
      </c>
      <c r="C62" s="5" t="str">
        <f aca="false">Productos!C62</f>
        <v>Atún, palta y cebollín, envuelto en salmón</v>
      </c>
      <c r="D62" s="8" t="str">
        <f aca="false">Productos!M62</f>
        <v>1,2,3,4,5,6,7,8,9,10,11,12,13,14</v>
      </c>
      <c r="E62" s="7" t="n">
        <f aca="false">Productos!N62</f>
        <v>14</v>
      </c>
    </row>
    <row r="63" customFormat="false" ht="22" hidden="false" customHeight="false" outlineLevel="0" collapsed="false">
      <c r="A63" s="4" t="n">
        <f aca="false">Productos!A63</f>
        <v>10022</v>
      </c>
      <c r="B63" s="4" t="str">
        <f aca="false">Productos!B63</f>
        <v>Sake Ciboulette</v>
      </c>
      <c r="C63" s="5" t="str">
        <f aca="false">Productos!C63</f>
        <v>Salmón, palta y queso crema envuelto en Ciboulette</v>
      </c>
      <c r="D63" s="8" t="str">
        <f aca="false">Productos!M63</f>
        <v>1,2,3,4,5,6,7,8,9,10,11,12,13,14</v>
      </c>
      <c r="E63" s="7" t="n">
        <f aca="false">Productos!N63</f>
        <v>14</v>
      </c>
    </row>
    <row r="64" customFormat="false" ht="22" hidden="false" customHeight="false" outlineLevel="0" collapsed="false">
      <c r="A64" s="4" t="n">
        <f aca="false">Productos!A64</f>
        <v>10023</v>
      </c>
      <c r="B64" s="4" t="str">
        <f aca="false">Productos!B64</f>
        <v>Maguro Ciboulette</v>
      </c>
      <c r="C64" s="5" t="str">
        <f aca="false">Productos!C64</f>
        <v>Atún, palta y queso crema envuelto en Ciboulette</v>
      </c>
      <c r="D64" s="8" t="str">
        <f aca="false">Productos!M64</f>
        <v>1,2,3,4,5,6,7,8,9,10,11,12,13,14</v>
      </c>
      <c r="E64" s="7" t="n">
        <f aca="false">Productos!N64</f>
        <v>14</v>
      </c>
    </row>
    <row r="65" customFormat="false" ht="22" hidden="false" customHeight="false" outlineLevel="0" collapsed="false">
      <c r="A65" s="4" t="n">
        <f aca="false">Productos!A65</f>
        <v>10024</v>
      </c>
      <c r="B65" s="4" t="str">
        <f aca="false">Productos!B65</f>
        <v>Vegan Sésamo</v>
      </c>
      <c r="C65" s="5" t="str">
        <f aca="false">Productos!C65</f>
        <v>Roll vegano con palta, cebollín y ciboulette envuelto en sésamo</v>
      </c>
      <c r="D65" s="8" t="str">
        <f aca="false">Productos!M65</f>
        <v>1,2,3,4,5,6,7,8,9,10,11,12,13,14</v>
      </c>
      <c r="E65" s="7" t="n">
        <f aca="false">Productos!N65</f>
        <v>14</v>
      </c>
    </row>
    <row r="66" customFormat="false" ht="22" hidden="false" customHeight="false" outlineLevel="0" collapsed="false">
      <c r="A66" s="4" t="n">
        <f aca="false">Productos!A66</f>
        <v>10025</v>
      </c>
      <c r="B66" s="4" t="str">
        <f aca="false">Productos!B66</f>
        <v>Vegan Masago</v>
      </c>
      <c r="C66" s="5" t="str">
        <f aca="false">Productos!C66</f>
        <v>Roll vegano con palta, cebollín y ciboulette envuelto en masago</v>
      </c>
      <c r="D66" s="8" t="str">
        <f aca="false">Productos!M66</f>
        <v>1,2,3,4,5,6,7,8,9,10,11,12,13,14</v>
      </c>
      <c r="E66" s="7" t="n">
        <f aca="false">Productos!N66</f>
        <v>14</v>
      </c>
    </row>
    <row r="67" customFormat="false" ht="22" hidden="false" customHeight="false" outlineLevel="0" collapsed="false">
      <c r="A67" s="4" t="n">
        <f aca="false">Productos!A67</f>
        <v>20001</v>
      </c>
      <c r="B67" s="4" t="str">
        <f aca="false">Productos!B67</f>
        <v>Nigiri Avocado</v>
      </c>
      <c r="C67" s="5" t="str">
        <f aca="false">Productos!C67</f>
        <v>Nigiri con salmón, palta y queso crema</v>
      </c>
      <c r="D67" s="8" t="str">
        <f aca="false">Productos!M67</f>
        <v>1,2,3,4,5,6,7,8,9,10,11,12,13,14</v>
      </c>
      <c r="E67" s="7" t="n">
        <f aca="false">Productos!N67</f>
        <v>14</v>
      </c>
    </row>
    <row r="68" customFormat="false" ht="22" hidden="false" customHeight="false" outlineLevel="0" collapsed="false">
      <c r="A68" s="4" t="n">
        <f aca="false">Productos!A68</f>
        <v>20002</v>
      </c>
      <c r="B68" s="4" t="str">
        <f aca="false">Productos!B68</f>
        <v>Nigiri Ebi</v>
      </c>
      <c r="C68" s="5" t="str">
        <f aca="false">Productos!C68</f>
        <v>Nigiri con camarón</v>
      </c>
      <c r="D68" s="8" t="str">
        <f aca="false">Productos!M68</f>
        <v>1,2,3,4,5,6,7,8,9,10,11,12,13,14</v>
      </c>
      <c r="E68" s="7" t="n">
        <f aca="false">Productos!N68</f>
        <v>14</v>
      </c>
    </row>
    <row r="69" customFormat="false" ht="22" hidden="false" customHeight="false" outlineLevel="0" collapsed="false">
      <c r="A69" s="4" t="n">
        <f aca="false">Productos!A69</f>
        <v>20003</v>
      </c>
      <c r="B69" s="4" t="str">
        <f aca="false">Productos!B69</f>
        <v>Nigiri Sake</v>
      </c>
      <c r="C69" s="5" t="str">
        <f aca="false">Productos!C69</f>
        <v>Nigiri con salmón</v>
      </c>
      <c r="D69" s="8" t="str">
        <f aca="false">Productos!M69</f>
        <v>1,2,3,4,5,6,7,8,9,10,11,12,13,14</v>
      </c>
      <c r="E69" s="7" t="n">
        <f aca="false">Productos!N69</f>
        <v>14</v>
      </c>
    </row>
    <row r="70" customFormat="false" ht="22" hidden="false" customHeight="false" outlineLevel="0" collapsed="false">
      <c r="A70" s="4" t="n">
        <f aca="false">Productos!A70</f>
        <v>20004</v>
      </c>
      <c r="B70" s="4" t="str">
        <f aca="false">Productos!B70</f>
        <v>Nigiri Maguro</v>
      </c>
      <c r="C70" s="5" t="str">
        <f aca="false">Productos!C70</f>
        <v>Nigiri con atún</v>
      </c>
      <c r="D70" s="8" t="str">
        <f aca="false">Productos!M70</f>
        <v>1,2,3,4,5,6,7,8,9,10,11,12,13,14</v>
      </c>
      <c r="E70" s="7" t="n">
        <f aca="false">Productos!N70</f>
        <v>14</v>
      </c>
    </row>
    <row r="71" customFormat="false" ht="22" hidden="false" customHeight="false" outlineLevel="0" collapsed="false">
      <c r="A71" s="4" t="n">
        <f aca="false">Productos!A71</f>
        <v>20005</v>
      </c>
      <c r="B71" s="4" t="str">
        <f aca="false">Productos!B71</f>
        <v>Nigiri Maguro Especial</v>
      </c>
      <c r="C71" s="5" t="str">
        <f aca="false">Productos!C71</f>
        <v>Nigiri con atún, palta y queso crema</v>
      </c>
      <c r="D71" s="8" t="str">
        <f aca="false">Productos!M71</f>
        <v>1,2,3,4,5,6,7,8,9,10,11,12,13,14</v>
      </c>
      <c r="E71" s="7" t="n">
        <f aca="false">Productos!N71</f>
        <v>14</v>
      </c>
    </row>
    <row r="72" customFormat="false" ht="22" hidden="false" customHeight="false" outlineLevel="0" collapsed="false">
      <c r="A72" s="4" t="n">
        <f aca="false">Productos!A72</f>
        <v>30001</v>
      </c>
      <c r="B72" s="4" t="str">
        <f aca="false">Productos!B72</f>
        <v>Sashimi Salmón 9 cortes</v>
      </c>
      <c r="C72" s="5" t="str">
        <f aca="false">Productos!C72</f>
        <v>Sashimi de salmón, 9 cortes</v>
      </c>
      <c r="D72" s="8" t="str">
        <f aca="false">Productos!M72</f>
        <v>1,2,3,4,5,6,7,8,9,10,11,12,13,14</v>
      </c>
      <c r="E72" s="7" t="n">
        <f aca="false">Productos!N72</f>
        <v>14</v>
      </c>
    </row>
    <row r="73" customFormat="false" ht="22" hidden="false" customHeight="false" outlineLevel="0" collapsed="false">
      <c r="A73" s="4" t="n">
        <f aca="false">Productos!A73</f>
        <v>30002</v>
      </c>
      <c r="B73" s="4" t="str">
        <f aca="false">Productos!B73</f>
        <v>Sashimi Salmón 12 cortes</v>
      </c>
      <c r="C73" s="5" t="str">
        <f aca="false">Productos!C73</f>
        <v>Sashimi de salmón, 12 cortes</v>
      </c>
      <c r="D73" s="8" t="str">
        <f aca="false">Productos!M73</f>
        <v>1,2,3,4,5,6,7,8,9,10,11,12,13,14</v>
      </c>
      <c r="E73" s="7" t="n">
        <f aca="false">Productos!N73</f>
        <v>14</v>
      </c>
    </row>
    <row r="74" customFormat="false" ht="22" hidden="false" customHeight="false" outlineLevel="0" collapsed="false">
      <c r="A74" s="4" t="n">
        <f aca="false">Productos!A74</f>
        <v>30003</v>
      </c>
      <c r="B74" s="4" t="str">
        <f aca="false">Productos!B74</f>
        <v>Sashimi Salmón 15 cortes</v>
      </c>
      <c r="C74" s="5" t="str">
        <f aca="false">Productos!C74</f>
        <v>Sashimi de salmón, 15 cortes</v>
      </c>
      <c r="D74" s="8" t="str">
        <f aca="false">Productos!M74</f>
        <v>1,2,3,4,5,6,7,8,9,10,11,12,13,14</v>
      </c>
      <c r="E74" s="7" t="n">
        <f aca="false">Productos!N74</f>
        <v>14</v>
      </c>
    </row>
    <row r="75" customFormat="false" ht="22" hidden="false" customHeight="false" outlineLevel="0" collapsed="false">
      <c r="A75" s="4" t="n">
        <f aca="false">Productos!A75</f>
        <v>30004</v>
      </c>
      <c r="B75" s="4" t="str">
        <f aca="false">Productos!B75</f>
        <v>Sashimi Atún 9 cortes</v>
      </c>
      <c r="C75" s="5" t="str">
        <f aca="false">Productos!C75</f>
        <v>Sashimi de atún, 9 cortes</v>
      </c>
      <c r="D75" s="8" t="str">
        <f aca="false">Productos!M75</f>
        <v>1,2,3,4,5,6,7,8,9,10,11,12,13,14</v>
      </c>
      <c r="E75" s="7" t="n">
        <f aca="false">Productos!N75</f>
        <v>14</v>
      </c>
    </row>
    <row r="76" customFormat="false" ht="22" hidden="false" customHeight="false" outlineLevel="0" collapsed="false">
      <c r="A76" s="4" t="n">
        <f aca="false">Productos!A76</f>
        <v>30005</v>
      </c>
      <c r="B76" s="4" t="str">
        <f aca="false">Productos!B76</f>
        <v>Sashimi Atún 12 cortes</v>
      </c>
      <c r="C76" s="5" t="str">
        <f aca="false">Productos!C76</f>
        <v>Sashimi de atún, 12 cortes</v>
      </c>
      <c r="D76" s="8" t="str">
        <f aca="false">Productos!M76</f>
        <v>1,2,3,4,5,6,7,8,9,10,11,12,13,14</v>
      </c>
      <c r="E76" s="7" t="n">
        <f aca="false">Productos!N76</f>
        <v>14</v>
      </c>
    </row>
    <row r="77" customFormat="false" ht="22" hidden="false" customHeight="false" outlineLevel="0" collapsed="false">
      <c r="A77" s="4" t="n">
        <f aca="false">Productos!A77</f>
        <v>30006</v>
      </c>
      <c r="B77" s="4" t="str">
        <f aca="false">Productos!B77</f>
        <v>Sashimi Atún 15 cortes</v>
      </c>
      <c r="C77" s="5" t="str">
        <f aca="false">Productos!C77</f>
        <v>Sashimi de atún, 15 cortes</v>
      </c>
      <c r="D77" s="8" t="str">
        <f aca="false">Productos!M77</f>
        <v>1,2,3,4,5,6,7,8,9,10,11,12,13,14</v>
      </c>
      <c r="E77" s="7" t="n">
        <f aca="false">Productos!N77</f>
        <v>14</v>
      </c>
    </row>
    <row r="78" customFormat="false" ht="22" hidden="false" customHeight="false" outlineLevel="0" collapsed="false">
      <c r="A78" s="4" t="n">
        <f aca="false">Productos!A78</f>
        <v>30007</v>
      </c>
      <c r="B78" s="4" t="str">
        <f aca="false">Productos!B78</f>
        <v>Sashimi Mix 12 cortes</v>
      </c>
      <c r="C78" s="5" t="str">
        <f aca="false">Productos!C78</f>
        <v>Mix de 6 cortes de sashimi de atún y 6 cortes de sashimi de salmón</v>
      </c>
      <c r="D78" s="8" t="str">
        <f aca="false">Productos!M78</f>
        <v>1,2,3,4,5,6,7,8,9,10,11,12,13,14</v>
      </c>
      <c r="E78" s="7" t="n">
        <f aca="false">Productos!N78</f>
        <v>14</v>
      </c>
    </row>
    <row r="79" customFormat="false" ht="22" hidden="false" customHeight="false" outlineLevel="0" collapsed="false">
      <c r="A79" s="4" t="n">
        <f aca="false">Productos!A79</f>
        <v>30008</v>
      </c>
      <c r="B79" s="4" t="str">
        <f aca="false">Productos!B79</f>
        <v>Sashimi Mix 18 cortes</v>
      </c>
      <c r="C79" s="5" t="str">
        <f aca="false">Productos!C79</f>
        <v>Mix de 9 cortes de sashimi de atún y 9 cortes de sashimi de salmón</v>
      </c>
      <c r="D79" s="8" t="str">
        <f aca="false">Productos!M79</f>
        <v>1,2,3,4,5,6,7,8,9,10,11,12,13,14</v>
      </c>
      <c r="E79" s="7" t="n">
        <f aca="false">Productos!N79</f>
        <v>14</v>
      </c>
    </row>
    <row r="80" customFormat="false" ht="13" hidden="false" customHeight="false" outlineLevel="0" collapsed="false">
      <c r="A80" s="0" t="n">
        <f aca="false">Productos!A80</f>
        <v>0</v>
      </c>
      <c r="B80" s="0" t="n">
        <f aca="false">Productos!B80</f>
        <v>0</v>
      </c>
      <c r="C80" s="0" t="n">
        <f aca="false">Productos!C80</f>
        <v>0</v>
      </c>
      <c r="D80" s="0" t="n">
        <f aca="false">Productos!M80</f>
        <v>0</v>
      </c>
      <c r="E80" s="18" t="n">
        <f aca="false">Productos!N80</f>
        <v>0</v>
      </c>
    </row>
    <row r="81" customFormat="false" ht="13" hidden="false" customHeight="false" outlineLevel="0" collapsed="false">
      <c r="A81" s="0" t="n">
        <f aca="false">Productos!A81</f>
        <v>0</v>
      </c>
      <c r="B81" s="0" t="n">
        <f aca="false">Productos!B81</f>
        <v>0</v>
      </c>
      <c r="C81" s="0" t="n">
        <f aca="false">Productos!C81</f>
        <v>0</v>
      </c>
      <c r="D81" s="0" t="n">
        <f aca="false">Productos!M81</f>
        <v>0</v>
      </c>
      <c r="E81" s="18" t="n">
        <f aca="false">Productos!N81</f>
        <v>0</v>
      </c>
    </row>
    <row r="82" customFormat="false" ht="13" hidden="false" customHeight="false" outlineLevel="0" collapsed="false">
      <c r="A82" s="0" t="n">
        <f aca="false">Productos!A82</f>
        <v>0</v>
      </c>
      <c r="B82" s="0" t="n">
        <f aca="false">Productos!B82</f>
        <v>0</v>
      </c>
      <c r="C82" s="0" t="n">
        <f aca="false">Productos!C82</f>
        <v>0</v>
      </c>
      <c r="D82" s="0" t="n">
        <f aca="false">Productos!M82</f>
        <v>0</v>
      </c>
      <c r="E82" s="18" t="n">
        <f aca="false">Productos!N82</f>
        <v>0</v>
      </c>
    </row>
    <row r="83" customFormat="false" ht="13" hidden="false" customHeight="false" outlineLevel="0" collapsed="false">
      <c r="A83" s="0" t="n">
        <f aca="false">Productos!A83</f>
        <v>0</v>
      </c>
      <c r="B83" s="0" t="n">
        <f aca="false">Productos!B83</f>
        <v>0</v>
      </c>
      <c r="C83" s="0" t="n">
        <f aca="false">Productos!C83</f>
        <v>0</v>
      </c>
      <c r="D83" s="0" t="n">
        <f aca="false">Productos!M83</f>
        <v>0</v>
      </c>
      <c r="E83" s="18" t="n">
        <f aca="false">Productos!N83</f>
        <v>0</v>
      </c>
    </row>
    <row r="84" customFormat="false" ht="13" hidden="false" customHeight="false" outlineLevel="0" collapsed="false">
      <c r="A84" s="0" t="n">
        <f aca="false">Productos!A84</f>
        <v>0</v>
      </c>
      <c r="B84" s="0" t="n">
        <f aca="false">Productos!B84</f>
        <v>0</v>
      </c>
      <c r="C84" s="0" t="n">
        <f aca="false">Productos!C84</f>
        <v>0</v>
      </c>
      <c r="D84" s="0" t="n">
        <f aca="false">Productos!M84</f>
        <v>0</v>
      </c>
      <c r="E84" s="18" t="n">
        <f aca="false">Productos!N84</f>
        <v>0</v>
      </c>
    </row>
    <row r="85" customFormat="false" ht="13" hidden="false" customHeight="false" outlineLevel="0" collapsed="false">
      <c r="A85" s="0" t="n">
        <f aca="false">Productos!A85</f>
        <v>0</v>
      </c>
      <c r="B85" s="0" t="n">
        <f aca="false">Productos!B85</f>
        <v>0</v>
      </c>
      <c r="C85" s="0" t="n">
        <f aca="false">Productos!C85</f>
        <v>0</v>
      </c>
      <c r="D85" s="0" t="n">
        <f aca="false">Productos!M85</f>
        <v>0</v>
      </c>
      <c r="E85" s="18" t="n">
        <f aca="false">Productos!N85</f>
        <v>0</v>
      </c>
    </row>
    <row r="86" customFormat="false" ht="13" hidden="false" customHeight="false" outlineLevel="0" collapsed="false">
      <c r="A86" s="0" t="n">
        <f aca="false">Productos!A86</f>
        <v>0</v>
      </c>
      <c r="B86" s="0" t="n">
        <f aca="false">Productos!B86</f>
        <v>0</v>
      </c>
      <c r="C86" s="0" t="n">
        <f aca="false">Productos!C86</f>
        <v>0</v>
      </c>
      <c r="D86" s="0" t="n">
        <f aca="false">Productos!M86</f>
        <v>0</v>
      </c>
      <c r="E86" s="18" t="n">
        <f aca="false">Productos!N86</f>
        <v>0</v>
      </c>
    </row>
    <row r="87" customFormat="false" ht="13" hidden="false" customHeight="false" outlineLevel="0" collapsed="false">
      <c r="A87" s="0" t="n">
        <f aca="false">Productos!A87</f>
        <v>0</v>
      </c>
      <c r="B87" s="0" t="n">
        <f aca="false">Productos!B87</f>
        <v>0</v>
      </c>
      <c r="C87" s="0" t="n">
        <f aca="false">Productos!C87</f>
        <v>0</v>
      </c>
      <c r="D87" s="0" t="n">
        <f aca="false">Productos!M87</f>
        <v>0</v>
      </c>
      <c r="E87" s="18" t="n">
        <f aca="false">Productos!N87</f>
        <v>0</v>
      </c>
    </row>
    <row r="88" customFormat="false" ht="13" hidden="false" customHeight="false" outlineLevel="0" collapsed="false">
      <c r="A88" s="0" t="n">
        <f aca="false">Productos!A88</f>
        <v>0</v>
      </c>
      <c r="B88" s="0" t="n">
        <f aca="false">Productos!B88</f>
        <v>0</v>
      </c>
      <c r="C88" s="0" t="n">
        <f aca="false">Productos!C88</f>
        <v>0</v>
      </c>
      <c r="D88" s="0" t="n">
        <f aca="false">Productos!M88</f>
        <v>0</v>
      </c>
      <c r="E88" s="18" t="n">
        <f aca="false">Productos!N88</f>
        <v>0</v>
      </c>
    </row>
    <row r="89" customFormat="false" ht="13" hidden="false" customHeight="false" outlineLevel="0" collapsed="false">
      <c r="A89" s="0" t="n">
        <f aca="false">Productos!A89</f>
        <v>0</v>
      </c>
      <c r="B89" s="0" t="n">
        <f aca="false">Productos!B89</f>
        <v>0</v>
      </c>
      <c r="C89" s="0" t="n">
        <f aca="false">Productos!C89</f>
        <v>0</v>
      </c>
      <c r="D89" s="0" t="n">
        <f aca="false">Productos!M89</f>
        <v>0</v>
      </c>
      <c r="E89" s="18" t="n">
        <f aca="false">Productos!N89</f>
        <v>0</v>
      </c>
    </row>
    <row r="90" customFormat="false" ht="13" hidden="false" customHeight="false" outlineLevel="0" collapsed="false">
      <c r="A90" s="0" t="n">
        <f aca="false">Productos!A90</f>
        <v>0</v>
      </c>
      <c r="B90" s="0" t="n">
        <f aca="false">Productos!B90</f>
        <v>0</v>
      </c>
      <c r="C90" s="0" t="n">
        <f aca="false">Productos!C90</f>
        <v>0</v>
      </c>
      <c r="D90" s="0" t="n">
        <f aca="false">Productos!M90</f>
        <v>0</v>
      </c>
      <c r="E90" s="18" t="n">
        <f aca="false">Productos!N90</f>
        <v>0</v>
      </c>
    </row>
    <row r="91" customFormat="false" ht="13" hidden="false" customHeight="false" outlineLevel="0" collapsed="false">
      <c r="A91" s="0" t="n">
        <f aca="false">Productos!A91</f>
        <v>0</v>
      </c>
      <c r="B91" s="0" t="n">
        <f aca="false">Productos!B91</f>
        <v>0</v>
      </c>
      <c r="C91" s="0" t="n">
        <f aca="false">Productos!C91</f>
        <v>0</v>
      </c>
      <c r="D91" s="0" t="n">
        <f aca="false">Productos!M91</f>
        <v>0</v>
      </c>
      <c r="E91" s="18" t="n">
        <f aca="false">Productos!N91</f>
        <v>0</v>
      </c>
    </row>
    <row r="92" customFormat="false" ht="13" hidden="false" customHeight="false" outlineLevel="0" collapsed="false">
      <c r="A92" s="0" t="n">
        <f aca="false">Productos!A92</f>
        <v>0</v>
      </c>
      <c r="B92" s="0" t="n">
        <f aca="false">Productos!B92</f>
        <v>0</v>
      </c>
      <c r="C92" s="0" t="n">
        <f aca="false">Productos!C92</f>
        <v>0</v>
      </c>
      <c r="D92" s="0" t="n">
        <f aca="false">Productos!M92</f>
        <v>0</v>
      </c>
      <c r="E92" s="18" t="n">
        <f aca="false">Productos!N92</f>
        <v>0</v>
      </c>
    </row>
    <row r="93" customFormat="false" ht="13" hidden="false" customHeight="false" outlineLevel="0" collapsed="false">
      <c r="A93" s="0" t="n">
        <f aca="false">Productos!A93</f>
        <v>0</v>
      </c>
      <c r="B93" s="0" t="n">
        <f aca="false">Productos!B93</f>
        <v>0</v>
      </c>
      <c r="C93" s="0" t="n">
        <f aca="false">Productos!C93</f>
        <v>0</v>
      </c>
      <c r="D93" s="0" t="n">
        <f aca="false">Productos!M93</f>
        <v>0</v>
      </c>
      <c r="E93" s="18" t="n">
        <f aca="false">Productos!N93</f>
        <v>0</v>
      </c>
    </row>
    <row r="94" customFormat="false" ht="13" hidden="false" customHeight="false" outlineLevel="0" collapsed="false">
      <c r="A94" s="0" t="n">
        <f aca="false">Productos!A94</f>
        <v>0</v>
      </c>
      <c r="B94" s="0" t="n">
        <f aca="false">Productos!B94</f>
        <v>0</v>
      </c>
      <c r="C94" s="0" t="n">
        <f aca="false">Productos!C94</f>
        <v>0</v>
      </c>
      <c r="D94" s="0" t="n">
        <f aca="false">Productos!M94</f>
        <v>0</v>
      </c>
      <c r="E94" s="18" t="n">
        <f aca="false">Productos!N94</f>
        <v>0</v>
      </c>
    </row>
    <row r="95" customFormat="false" ht="13" hidden="false" customHeight="false" outlineLevel="0" collapsed="false">
      <c r="A95" s="0" t="n">
        <f aca="false">Productos!A95</f>
        <v>0</v>
      </c>
      <c r="B95" s="0" t="n">
        <f aca="false">Productos!B95</f>
        <v>0</v>
      </c>
      <c r="C95" s="0" t="n">
        <f aca="false">Productos!C95</f>
        <v>0</v>
      </c>
      <c r="D95" s="0" t="n">
        <f aca="false">Productos!M95</f>
        <v>0</v>
      </c>
      <c r="E95" s="18" t="n">
        <f aca="false">Productos!N95</f>
        <v>0</v>
      </c>
    </row>
    <row r="96" customFormat="false" ht="13" hidden="false" customHeight="false" outlineLevel="0" collapsed="false">
      <c r="A96" s="0" t="n">
        <f aca="false">Productos!A96</f>
        <v>0</v>
      </c>
      <c r="B96" s="0" t="n">
        <f aca="false">Productos!B96</f>
        <v>0</v>
      </c>
      <c r="C96" s="0" t="n">
        <f aca="false">Productos!C96</f>
        <v>0</v>
      </c>
      <c r="D96" s="0" t="n">
        <f aca="false">Productos!M96</f>
        <v>0</v>
      </c>
      <c r="E96" s="18" t="n">
        <f aca="false">Productos!N96</f>
        <v>0</v>
      </c>
    </row>
    <row r="97" customFormat="false" ht="13" hidden="false" customHeight="false" outlineLevel="0" collapsed="false">
      <c r="A97" s="0" t="n">
        <f aca="false">Productos!A97</f>
        <v>0</v>
      </c>
      <c r="B97" s="0" t="n">
        <f aca="false">Productos!B97</f>
        <v>0</v>
      </c>
      <c r="C97" s="0" t="n">
        <f aca="false">Productos!C97</f>
        <v>0</v>
      </c>
      <c r="D97" s="0" t="n">
        <f aca="false">Productos!M97</f>
        <v>0</v>
      </c>
      <c r="E97" s="18" t="n">
        <f aca="false">Productos!N97</f>
        <v>0</v>
      </c>
    </row>
    <row r="98" customFormat="false" ht="13" hidden="false" customHeight="false" outlineLevel="0" collapsed="false">
      <c r="A98" s="0" t="n">
        <f aca="false">Productos!A98</f>
        <v>0</v>
      </c>
      <c r="B98" s="0" t="n">
        <f aca="false">Productos!B98</f>
        <v>0</v>
      </c>
      <c r="C98" s="0" t="n">
        <f aca="false">Productos!C98</f>
        <v>0</v>
      </c>
      <c r="D98" s="0" t="n">
        <f aca="false">Productos!M98</f>
        <v>0</v>
      </c>
      <c r="E98" s="18" t="n">
        <f aca="false">Productos!N98</f>
        <v>0</v>
      </c>
    </row>
    <row r="99" customFormat="false" ht="13" hidden="false" customHeight="false" outlineLevel="0" collapsed="false">
      <c r="A99" s="0" t="n">
        <f aca="false">Productos!A99</f>
        <v>0</v>
      </c>
      <c r="B99" s="0" t="n">
        <f aca="false">Productos!B99</f>
        <v>0</v>
      </c>
      <c r="C99" s="0" t="n">
        <f aca="false">Productos!C99</f>
        <v>0</v>
      </c>
      <c r="D99" s="0" t="n">
        <f aca="false">Productos!M99</f>
        <v>0</v>
      </c>
      <c r="E99" s="18" t="n">
        <f aca="false">Productos!N99</f>
        <v>0</v>
      </c>
    </row>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RowHeight="13" zeroHeight="false" outlineLevelRow="0" outlineLevelCol="0"/>
  <cols>
    <col collapsed="false" customWidth="true" hidden="false" outlineLevel="0" max="1" min="1" style="0" width="14.5"/>
    <col collapsed="false" customWidth="true" hidden="false" outlineLevel="0" max="2" min="2" style="0" width="28.16"/>
    <col collapsed="false" customWidth="true" hidden="false" outlineLevel="0" max="3" min="3" style="0" width="41.34"/>
    <col collapsed="false" customWidth="true" hidden="false" outlineLevel="0" max="1025" min="4" style="0" width="10.67"/>
  </cols>
  <sheetData>
    <row r="1" customFormat="false" ht="13" hidden="false" customHeight="false" outlineLevel="0" collapsed="false">
      <c r="A1" s="0" t="s">
        <v>195</v>
      </c>
      <c r="B1" s="0" t="s">
        <v>196</v>
      </c>
      <c r="C1" s="0" t="s">
        <v>197</v>
      </c>
    </row>
    <row r="2" customFormat="false" ht="14" hidden="false" customHeight="false" outlineLevel="0" collapsed="false">
      <c r="A2" s="0" t="n">
        <v>1</v>
      </c>
      <c r="B2" s="19" t="s">
        <v>198</v>
      </c>
      <c r="C2" s="19" t="s">
        <v>199</v>
      </c>
    </row>
    <row r="3" customFormat="false" ht="14" hidden="false" customHeight="false" outlineLevel="0" collapsed="false">
      <c r="A3" s="0" t="n">
        <f aca="false">$A2+1</f>
        <v>2</v>
      </c>
      <c r="B3" s="19" t="s">
        <v>200</v>
      </c>
      <c r="C3" s="19" t="s">
        <v>201</v>
      </c>
    </row>
    <row r="4" customFormat="false" ht="14" hidden="false" customHeight="false" outlineLevel="0" collapsed="false">
      <c r="A4" s="0" t="n">
        <f aca="false">$A3+1</f>
        <v>3</v>
      </c>
      <c r="B4" s="19" t="s">
        <v>202</v>
      </c>
      <c r="C4" s="19" t="s">
        <v>203</v>
      </c>
    </row>
    <row r="5" customFormat="false" ht="14" hidden="false" customHeight="false" outlineLevel="0" collapsed="false">
      <c r="A5" s="0" t="n">
        <f aca="false">$A4+1</f>
        <v>4</v>
      </c>
      <c r="B5" s="19" t="s">
        <v>204</v>
      </c>
      <c r="C5" s="19" t="s">
        <v>205</v>
      </c>
    </row>
    <row r="6" customFormat="false" ht="14" hidden="false" customHeight="false" outlineLevel="0" collapsed="false">
      <c r="A6" s="0" t="n">
        <f aca="false">$A5+1</f>
        <v>5</v>
      </c>
      <c r="B6" s="19" t="s">
        <v>206</v>
      </c>
      <c r="C6" s="19" t="s">
        <v>207</v>
      </c>
    </row>
    <row r="7" customFormat="false" ht="14" hidden="false" customHeight="false" outlineLevel="0" collapsed="false">
      <c r="A7" s="0" t="n">
        <f aca="false">$A6+1</f>
        <v>6</v>
      </c>
      <c r="B7" s="19" t="s">
        <v>208</v>
      </c>
      <c r="C7" s="19" t="s">
        <v>209</v>
      </c>
    </row>
    <row r="8" customFormat="false" ht="14" hidden="false" customHeight="false" outlineLevel="0" collapsed="false">
      <c r="A8" s="0" t="n">
        <f aca="false">$A7+1</f>
        <v>7</v>
      </c>
      <c r="B8" s="19" t="s">
        <v>210</v>
      </c>
      <c r="C8" s="19" t="s">
        <v>211</v>
      </c>
    </row>
    <row r="9" customFormat="false" ht="14" hidden="false" customHeight="false" outlineLevel="0" collapsed="false">
      <c r="A9" s="0" t="n">
        <f aca="false">$A8+1</f>
        <v>8</v>
      </c>
      <c r="B9" s="19" t="s">
        <v>212</v>
      </c>
      <c r="C9" s="19" t="s">
        <v>213</v>
      </c>
    </row>
    <row r="10" customFormat="false" ht="14" hidden="false" customHeight="false" outlineLevel="0" collapsed="false">
      <c r="A10" s="0" t="n">
        <f aca="false">$A9+1</f>
        <v>9</v>
      </c>
      <c r="B10" s="19" t="s">
        <v>214</v>
      </c>
      <c r="C10" s="19" t="s">
        <v>215</v>
      </c>
    </row>
    <row r="11" customFormat="false" ht="14" hidden="false" customHeight="false" outlineLevel="0" collapsed="false">
      <c r="A11" s="0" t="n">
        <f aca="false">$A10+1</f>
        <v>10</v>
      </c>
      <c r="B11" s="19" t="s">
        <v>216</v>
      </c>
      <c r="C11" s="19" t="s">
        <v>217</v>
      </c>
    </row>
    <row r="12" customFormat="false" ht="14" hidden="false" customHeight="false" outlineLevel="0" collapsed="false">
      <c r="A12" s="0" t="n">
        <f aca="false">$A11+1</f>
        <v>11</v>
      </c>
      <c r="B12" s="19" t="s">
        <v>218</v>
      </c>
      <c r="C12" s="19" t="s">
        <v>219</v>
      </c>
    </row>
    <row r="13" customFormat="false" ht="14" hidden="false" customHeight="false" outlineLevel="0" collapsed="false">
      <c r="A13" s="0" t="n">
        <f aca="false">$A12+1</f>
        <v>12</v>
      </c>
      <c r="B13" s="19" t="s">
        <v>220</v>
      </c>
      <c r="C13" s="19" t="s">
        <v>221</v>
      </c>
    </row>
    <row r="14" customFormat="false" ht="14" hidden="false" customHeight="false" outlineLevel="0" collapsed="false">
      <c r="A14" s="0" t="n">
        <f aca="false">$A13+1</f>
        <v>13</v>
      </c>
      <c r="B14" s="19" t="s">
        <v>222</v>
      </c>
      <c r="C14" s="19" t="s">
        <v>223</v>
      </c>
    </row>
    <row r="15" customFormat="false" ht="14" hidden="false" customHeight="false" outlineLevel="0" collapsed="false">
      <c r="A15" s="0" t="n">
        <f aca="false">$A14+1</f>
        <v>14</v>
      </c>
      <c r="B15" s="19" t="s">
        <v>224</v>
      </c>
      <c r="C15" s="19" t="s">
        <v>225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0" t="str">
        <f aca="false">IFERROR(__xludf.dummyfunction("JOIN("",
"",filter(Productos!A:A,Productos!A:A))"),"1001,
1002,
1003,
1004,
1005,
1006,
1007,
1008,
1009,
1010,
1011,
1012,
1013,
1014,
1015,
1016,
1101,
1105,
1106,
1107,
1108,
1109,
1110,
1111,
1112,
1114,
1115,
1116,
1201,
1207,
1209,
1210,
1211,
1215,
1216,
1301,
1307,
1309,
1310,
1407,
10001,
10002,
1"&amp;"0003,
10004,
10005,
10006,
10007,
10008,
10009,
10010,
10011,
10012,
10013,
10014,
10015,
10016,
10017,
10018,
10019,
10020,
10021,
10022,
10023,
10024,
10025,
20001,
20002,
20003,
20004,
20005,
30001,
30002,
30003,
30004,
30005,
30006,
30007,
30008")</f>
        <v>1001,_x005F_x000D_1002,_x005F_x000D_1003,_x005F_x000D_1004,_x005F_x000D_1005,_x005F_x000D_1006,_x005F_x000D_1007,_x005F_x000D_1008,_x005F_x000D_1009,_x005F_x000D_1010,_x005F_x000D_1011,_x005F_x000D_1012,_x005F_x000D_1013,_x005F_x000D_1014,_x005F_x000D_1015,_x005F_x000D_1016,_x005F_x000D_1101,_x005F_x000D_1105,_x005F_x000D_1106,_x005F_x000D_1107,_x005F_x000D_1108,_x005F_x000D_1109,_x005F_x000D_1110,_x005F_x000D_1111,_x005F_x000D_1112,_x005F_x000D_1114,_x005F_x000D_1115,_x005F_x000D_1116,_x005F_x000D_1201,_x005F_x000D_1207,_x005F_x000D_1209,_x005F_x000D_1210,_x005F_x000D_1211,_x005F_x000D_1215,_x005F_x000D_1216,_x005F_x000D_1301,_x005F_x000D_1307,_x005F_x000D_1309,_x005F_x000D_1310,_x005F_x000D_1407,_x005F_x000D_10001,_x005F_x000D_10002,_x005F_x000D_10003,_x005F_x000D_10004,_x005F_x000D_10005,_x005F_x000D_10006,_x005F_x000D_10007,_x005F_x000D_10008,_x005F_x000D_10009,_x005F_x000D_10010,_x005F_x000D_10011,_x005F_x000D_10012,_x005F_x000D_10013,_x005F_x000D_10014,_x005F_x000D_10015,_x005F_x000D_10016,_x005F_x000D_10017,_x005F_x000D_10018,_x005F_x000D_10019,_x005F_x000D_10020,_x005F_x000D_10021,_x005F_x000D_10022,_x005F_x000D_10023,_x005F_x000D_10024,_x005F_x000D_10025,_x005F_x000D_20001,_x005F_x000D_20002,_x005F_x000D_20003,_x005F_x000D_20004,_x005F_x000D_20005,_x005F_x000D_30001,_x005F_x000D_30002,_x005F_x000D_30003,_x005F_x000D_30004,_x005F_x000D_30005,_x005F_x000D_30006,_x005F_x000D_30007,_x005F_x000D_30008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10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16"/>
      <c r="B1" s="16" t="s">
        <v>226</v>
      </c>
    </row>
    <row r="2" customFormat="false" ht="15.75" hidden="false" customHeight="true" outlineLevel="0" collapsed="false">
      <c r="A2" s="16"/>
      <c r="B2" s="20" t="s">
        <v>227</v>
      </c>
    </row>
    <row r="4" customFormat="false" ht="15.75" hidden="false" customHeight="true" outlineLevel="0" collapsed="false">
      <c r="A4" s="16"/>
      <c r="B4" s="16" t="s">
        <v>228</v>
      </c>
      <c r="C4" s="16"/>
      <c r="D4" s="16" t="n">
        <v>1</v>
      </c>
    </row>
    <row r="5" customFormat="false" ht="15.75" hidden="false" customHeight="true" outlineLevel="0" collapsed="false">
      <c r="A5" s="16" t="s">
        <v>229</v>
      </c>
      <c r="B5" s="16" t="s">
        <v>0</v>
      </c>
      <c r="C5" s="16" t="s">
        <v>230</v>
      </c>
      <c r="D5" s="16" t="s">
        <v>231</v>
      </c>
      <c r="E5" s="16" t="s">
        <v>232</v>
      </c>
      <c r="F5" s="16" t="s">
        <v>233</v>
      </c>
      <c r="G5" s="16" t="s">
        <v>234</v>
      </c>
      <c r="H5" s="16" t="s">
        <v>235</v>
      </c>
      <c r="I5" s="16" t="s">
        <v>236</v>
      </c>
      <c r="J5" s="16"/>
      <c r="K5" s="16" t="s">
        <v>237</v>
      </c>
    </row>
    <row r="6" customFormat="false" ht="15.75" hidden="false" customHeight="true" outlineLevel="0" collapsed="false">
      <c r="A6" s="16"/>
      <c r="G6" s="21"/>
    </row>
    <row r="7" customFormat="false" ht="15.75" hidden="false" customHeight="true" outlineLevel="0" collapsed="false">
      <c r="A7" s="22" t="s">
        <v>238</v>
      </c>
      <c r="B7" s="23" t="s">
        <v>239</v>
      </c>
      <c r="G7" s="21"/>
    </row>
    <row r="8" customFormat="false" ht="15.75" hidden="false" customHeight="true" outlineLevel="0" collapsed="false">
      <c r="A8" s="16" t="n">
        <v>1</v>
      </c>
      <c r="B8" s="0" t="n">
        <f aca="false">IFERROR(__xludf.dummyfunction("filter(Productos!$A$2:$A1017,INDIRECT(B7))"),1001)</f>
        <v>1001</v>
      </c>
      <c r="C8" s="24" t="n">
        <f aca="false">IFERROR(__xludf.dummyfunction("filter(Productos!$D$2:$D1017,INDIRECT(B7))"),3000)</f>
        <v>3000</v>
      </c>
      <c r="D8" s="0" t="n">
        <f aca="false">IFERROR(__xludf.dummyfunction("filter(Productos!$K$2:$L1017,INDIRECT(B7))"),10)</f>
        <v>10</v>
      </c>
      <c r="E8" s="0" t="n">
        <f aca="false">IFERROR(__xludf.dummyfunction("""COMPUTED_VALUE"""),240)</f>
        <v>240</v>
      </c>
      <c r="F8" s="0" t="str">
        <f aca="false">IFERROR(__xludf.dummyfunction("filter(Formulas!$C:$C,Formulas!$A:$A=B8)"),"""formula"":null")</f>
        <v>"formula":null</v>
      </c>
      <c r="G8" s="21" t="n">
        <f aca="false">IFERROR(__xludf.dummyfunction("filter(Productos!$H$2:$H1017,INDIRECT(B7))"),720)</f>
        <v>720</v>
      </c>
      <c r="H8" s="21" t="str">
        <f aca="false">IFERROR(__xludf.dummyfunction("IF(D8,filter(Productos!AC:AC,Productos!A:A=B8),)"),"fabrica")</f>
        <v>fabrica</v>
      </c>
      <c r="I8" s="21" t="str">
        <f aca="false">IFERROR(__xludf.dummyfunction("filter(Productos!$E$2:$E1017,INDIRECT(B7))"),"")</f>
        <v/>
      </c>
      <c r="K8" s="0" t="e">
        <f aca="false">IF(D8,"{""sku"":"""&amp;B8&amp;""", ""costo"":"&amp;C8&amp;", ""grupo"":"""&amp;A8&amp;""", ""lote"":"&amp;D8&amp;", ""tiempo"":"&amp;E8&amp;", "&amp;F8&amp;", ""vencimiento"":"&amp;G8&amp;IF(I8,", ""precio"":"&amp;I8,)&amp;", ""tipo"":"""&amp;H8&amp;"""},",)</f>
        <v>#VALUE!</v>
      </c>
    </row>
    <row r="9" customFormat="false" ht="15.75" hidden="false" customHeight="true" outlineLevel="0" collapsed="false">
      <c r="A9" s="16" t="n">
        <v>1</v>
      </c>
      <c r="B9" s="0" t="n">
        <f aca="false">IFERROR(__xludf.dummyfunction("""COMPUTED_VALUE"""),1002)</f>
        <v>1002</v>
      </c>
      <c r="C9" s="24" t="n">
        <f aca="false">IFERROR(__xludf.dummyfunction("""COMPUTED_VALUE"""),4590)</f>
        <v>4590</v>
      </c>
      <c r="D9" s="0" t="n">
        <f aca="false">IFERROR(__xludf.dummyfunction("""COMPUTED_VALUE"""),10)</f>
        <v>10</v>
      </c>
      <c r="E9" s="0" t="n">
        <f aca="false">IFERROR(__xludf.dummyfunction("""COMPUTED_VALUE"""),300)</f>
        <v>300</v>
      </c>
      <c r="F9" s="0" t="str">
        <f aca="false">IFERROR(__xludf.dummyfunction("filter(Formulas!C:C,Formulas!A:A=B9)"),"""formula"":null")</f>
        <v>"formula":null</v>
      </c>
      <c r="G9" s="21" t="n">
        <f aca="false">IFERROR(__xludf.dummyfunction("""COMPUTED_VALUE"""),720)</f>
        <v>720</v>
      </c>
      <c r="H9" s="21" t="str">
        <f aca="false">IFERROR(__xludf.dummyfunction("IF(D9,filter(Productos!AC:AC,Productos!A:A=B9),)"),"fabrica")</f>
        <v>fabrica</v>
      </c>
      <c r="I9" s="24" t="str">
        <f aca="false">IFERROR(__xludf.dummyfunction("""COMPUTED_VALUE"""),"")</f>
        <v/>
      </c>
      <c r="K9" s="0" t="e">
        <f aca="false">IF(D9,"{""sku"":"""&amp;B9&amp;""", ""costo"":"&amp;C9&amp;", ""grupo"":"""&amp;A9&amp;""", ""lote"":"&amp;D9&amp;", ""tiempo"":"&amp;E9&amp;", "&amp;F9&amp;", ""vencimiento"":"&amp;G9&amp;IF(I9,", ""precio"":"&amp;I9,)&amp;", ""tipo"":"""&amp;H9&amp;"""},",)</f>
        <v>#VALUE!</v>
      </c>
    </row>
    <row r="10" customFormat="false" ht="15.75" hidden="false" customHeight="true" outlineLevel="0" collapsed="false">
      <c r="A10" s="16" t="n">
        <v>1</v>
      </c>
      <c r="B10" s="0" t="n">
        <f aca="false">IFERROR(__xludf.dummyfunction("""COMPUTED_VALUE"""),1005)</f>
        <v>1005</v>
      </c>
      <c r="C10" s="24" t="n">
        <f aca="false">IFERROR(__xludf.dummyfunction("""COMPUTED_VALUE"""),9990)</f>
        <v>9990</v>
      </c>
      <c r="D10" s="0" t="n">
        <f aca="false">IFERROR(__xludf.dummyfunction("""COMPUTED_VALUE"""),5)</f>
        <v>5</v>
      </c>
      <c r="E10" s="0" t="n">
        <f aca="false">IFERROR(__xludf.dummyfunction("""COMPUTED_VALUE"""),260)</f>
        <v>260</v>
      </c>
      <c r="F10" s="0" t="str">
        <f aca="false">IFERROR(__xludf.dummyfunction("filter(Formulas!C:C,Formulas!A:A=B10)"),"""formula"":null")</f>
        <v>"formula":null</v>
      </c>
      <c r="G10" s="21" t="n">
        <f aca="false">IFERROR(__xludf.dummyfunction("""COMPUTED_VALUE"""),24)</f>
        <v>24</v>
      </c>
      <c r="H10" s="21" t="str">
        <f aca="false">IFERROR(__xludf.dummyfunction("IF(D10,filter(Productos!AC:AC,Productos!A:A=B10),)"),"fabrica")</f>
        <v>fabrica</v>
      </c>
      <c r="I10" s="24" t="str">
        <f aca="false">IFERROR(__xludf.dummyfunction("""COMPUTED_VALUE"""),"")</f>
        <v/>
      </c>
      <c r="K10" s="0" t="e">
        <f aca="false">IF(D10,"{""sku"":"""&amp;B10&amp;""", ""costo"":"&amp;C10&amp;", ""grupo"":"""&amp;A10&amp;""", ""lote"":"&amp;D10&amp;", ""tiempo"":"&amp;E10&amp;", "&amp;F10&amp;", ""vencimiento"":"&amp;G10&amp;IF(I10,", ""precio"":"&amp;I10,)&amp;", ""tipo"":"""&amp;H10&amp;"""},",)</f>
        <v>#VALUE!</v>
      </c>
    </row>
    <row r="11" customFormat="false" ht="15.75" hidden="false" customHeight="true" outlineLevel="0" collapsed="false">
      <c r="A11" s="16" t="n">
        <v>1</v>
      </c>
      <c r="B11" s="0" t="n">
        <f aca="false">IFERROR(__xludf.dummyfunction("""COMPUTED_VALUE"""),1008)</f>
        <v>1008</v>
      </c>
      <c r="C11" s="24" t="n">
        <f aca="false">IFERROR(__xludf.dummyfunction("""COMPUTED_VALUE"""),21990)</f>
        <v>21990</v>
      </c>
      <c r="D11" s="0" t="n">
        <f aca="false">IFERROR(__xludf.dummyfunction("""COMPUTED_VALUE"""),10)</f>
        <v>10</v>
      </c>
      <c r="E11" s="0" t="n">
        <f aca="false">IFERROR(__xludf.dummyfunction("""COMPUTED_VALUE"""),220)</f>
        <v>220</v>
      </c>
      <c r="F11" s="0" t="str">
        <f aca="false">IFERROR(__xludf.dummyfunction("filter(Formulas!C:C,Formulas!A:A=B11)"),"""formula"":null")</f>
        <v>"formula":null</v>
      </c>
      <c r="G11" s="21" t="n">
        <f aca="false">IFERROR(__xludf.dummyfunction("""COMPUTED_VALUE"""),48)</f>
        <v>48</v>
      </c>
      <c r="H11" s="21" t="str">
        <f aca="false">IFERROR(__xludf.dummyfunction("IF(D11,filter(Productos!AC:AC,Productos!A:A=B11),)"),"fabrica")</f>
        <v>fabrica</v>
      </c>
      <c r="I11" s="24" t="str">
        <f aca="false">IFERROR(__xludf.dummyfunction("""COMPUTED_VALUE"""),"")</f>
        <v/>
      </c>
      <c r="K11" s="0" t="e">
        <f aca="false">IF(D11,"{""sku"":"""&amp;B11&amp;""", ""costo"":"&amp;C11&amp;", ""grupo"":"""&amp;A11&amp;""", ""lote"":"&amp;D11&amp;", ""tiempo"":"&amp;E11&amp;", "&amp;F11&amp;", ""vencimiento"":"&amp;G11&amp;IF(I11,", ""precio"":"&amp;I11,)&amp;", ""tipo"":"""&amp;H11&amp;"""},",)</f>
        <v>#VALUE!</v>
      </c>
    </row>
    <row r="12" customFormat="false" ht="15.75" hidden="false" customHeight="true" outlineLevel="0" collapsed="false">
      <c r="A12" s="16" t="n">
        <v>1</v>
      </c>
      <c r="B12" s="0" t="n">
        <f aca="false">IFERROR(__xludf.dummyfunction("""COMPUTED_VALUE"""),1009)</f>
        <v>1009</v>
      </c>
      <c r="C12" s="24" t="n">
        <f aca="false">IFERROR(__xludf.dummyfunction("""COMPUTED_VALUE"""),14370)</f>
        <v>14370</v>
      </c>
      <c r="D12" s="0" t="n">
        <f aca="false">IFERROR(__xludf.dummyfunction("""COMPUTED_VALUE"""),3)</f>
        <v>3</v>
      </c>
      <c r="E12" s="0" t="n">
        <f aca="false">IFERROR(__xludf.dummyfunction("""COMPUTED_VALUE"""),400)</f>
        <v>400</v>
      </c>
      <c r="F12" s="0" t="str">
        <f aca="false">IFERROR(__xludf.dummyfunction("filter(Formulas!C:C,Formulas!A:A=B12)"),"""formula"":null")</f>
        <v>"formula":null</v>
      </c>
      <c r="G12" s="21" t="n">
        <f aca="false">IFERROR(__xludf.dummyfunction("""COMPUTED_VALUE"""),15)</f>
        <v>15</v>
      </c>
      <c r="H12" s="21" t="str">
        <f aca="false">IFERROR(__xludf.dummyfunction("IF(D12,filter(Productos!AC:AC,Productos!A:A=B12),)"),"fabrica")</f>
        <v>fabrica</v>
      </c>
      <c r="I12" s="24" t="str">
        <f aca="false">IFERROR(__xludf.dummyfunction("""COMPUTED_VALUE"""),"")</f>
        <v/>
      </c>
      <c r="K12" s="0" t="e">
        <f aca="false">IF(D12,"{""sku"":"""&amp;B12&amp;""", ""costo"":"&amp;C12&amp;", ""grupo"":"""&amp;A12&amp;""", ""lote"":"&amp;D12&amp;", ""tiempo"":"&amp;E12&amp;", "&amp;F12&amp;", ""vencimiento"":"&amp;G12&amp;IF(I12,", ""precio"":"&amp;I12,)&amp;", ""tipo"":"""&amp;H12&amp;"""},",)</f>
        <v>#VALUE!</v>
      </c>
    </row>
    <row r="13" customFormat="false" ht="15.75" hidden="false" customHeight="true" outlineLevel="0" collapsed="false">
      <c r="A13" s="16" t="n">
        <v>1</v>
      </c>
      <c r="B13" s="0" t="n">
        <f aca="false">IFERROR(__xludf.dummyfunction("""COMPUTED_VALUE"""),1010)</f>
        <v>1010</v>
      </c>
      <c r="C13" s="24" t="n">
        <f aca="false">IFERROR(__xludf.dummyfunction("""COMPUTED_VALUE"""),2990)</f>
        <v>2990</v>
      </c>
      <c r="D13" s="0" t="n">
        <f aca="false">IFERROR(__xludf.dummyfunction("""COMPUTED_VALUE"""),5)</f>
        <v>5</v>
      </c>
      <c r="E13" s="0" t="n">
        <f aca="false">IFERROR(__xludf.dummyfunction("""COMPUTED_VALUE"""),480)</f>
        <v>480</v>
      </c>
      <c r="F13" s="0" t="str">
        <f aca="false">IFERROR(__xludf.dummyfunction("filter(Formulas!C:C,Formulas!A:A=B13)"),"""formula"":null")</f>
        <v>"formula":null</v>
      </c>
      <c r="G13" s="21" t="n">
        <f aca="false">IFERROR(__xludf.dummyfunction("""COMPUTED_VALUE"""),30)</f>
        <v>30</v>
      </c>
      <c r="H13" s="21" t="str">
        <f aca="false">IFERROR(__xludf.dummyfunction("IF(D13,filter(Productos!AC:AC,Productos!A:A=B13),)"),"fabrica")</f>
        <v>fabrica</v>
      </c>
      <c r="I13" s="24" t="str">
        <f aca="false">IFERROR(__xludf.dummyfunction("""COMPUTED_VALUE"""),"")</f>
        <v/>
      </c>
      <c r="K13" s="0" t="e">
        <f aca="false">IF(D13,"{""sku"":"""&amp;B13&amp;""", ""costo"":"&amp;C13&amp;", ""grupo"":"""&amp;A13&amp;""", ""lote"":"&amp;D13&amp;", ""tiempo"":"&amp;E13&amp;", "&amp;F13&amp;", ""vencimiento"":"&amp;G13&amp;IF(I13,", ""precio"":"&amp;I13,)&amp;", ""tipo"":"""&amp;H13&amp;"""},",)</f>
        <v>#VALUE!</v>
      </c>
    </row>
    <row r="14" customFormat="false" ht="15.75" hidden="false" customHeight="true" outlineLevel="0" collapsed="false">
      <c r="A14" s="16" t="n">
        <v>1</v>
      </c>
      <c r="B14" s="0" t="n">
        <f aca="false">IFERROR(__xludf.dummyfunction("""COMPUTED_VALUE"""),1015)</f>
        <v>1015</v>
      </c>
      <c r="C14" s="24" t="n">
        <f aca="false">IFERROR(__xludf.dummyfunction("""COMPUTED_VALUE"""),350)</f>
        <v>350</v>
      </c>
      <c r="D14" s="0" t="n">
        <f aca="false">IFERROR(__xludf.dummyfunction("""COMPUTED_VALUE"""),4)</f>
        <v>4</v>
      </c>
      <c r="E14" s="0" t="n">
        <f aca="false">IFERROR(__xludf.dummyfunction("""COMPUTED_VALUE"""),400)</f>
        <v>400</v>
      </c>
      <c r="F14" s="0" t="str">
        <f aca="false">IFERROR(__xludf.dummyfunction("filter(Formulas!C:C,Formulas!A:A=B14)"),"""formula"":null")</f>
        <v>"formula":null</v>
      </c>
      <c r="G14" s="21" t="n">
        <f aca="false">IFERROR(__xludf.dummyfunction("""COMPUTED_VALUE"""),30)</f>
        <v>30</v>
      </c>
      <c r="H14" s="21" t="str">
        <f aca="false">IFERROR(__xludf.dummyfunction("IF(D14,filter(Productos!AC:AC,Productos!A:A=B14),)"),"fabrica")</f>
        <v>fabrica</v>
      </c>
      <c r="I14" s="24" t="str">
        <f aca="false">IFERROR(__xludf.dummyfunction("""COMPUTED_VALUE"""),"")</f>
        <v/>
      </c>
      <c r="K14" s="0" t="e">
        <f aca="false">IF(D14,"{""sku"":"""&amp;B14&amp;""", ""costo"":"&amp;C14&amp;", ""grupo"":"""&amp;A14&amp;""", ""lote"":"&amp;D14&amp;", ""tiempo"":"&amp;E14&amp;", "&amp;F14&amp;", ""vencimiento"":"&amp;G14&amp;IF(I14,", ""precio"":"&amp;I14,)&amp;", ""tipo"":"""&amp;H14&amp;"""},",)</f>
        <v>#VALUE!</v>
      </c>
    </row>
    <row r="15" customFormat="false" ht="15.75" hidden="false" customHeight="true" outlineLevel="0" collapsed="false">
      <c r="A15" s="16" t="n">
        <v>1</v>
      </c>
      <c r="B15" s="0" t="n">
        <f aca="false">IFERROR(__xludf.dummyfunction("""COMPUTED_VALUE"""),1016)</f>
        <v>1016</v>
      </c>
      <c r="C15" s="24" t="n">
        <f aca="false">IFERROR(__xludf.dummyfunction("""COMPUTED_VALUE"""),2790)</f>
        <v>2790</v>
      </c>
      <c r="D15" s="0" t="n">
        <f aca="false">IFERROR(__xludf.dummyfunction("""COMPUTED_VALUE"""),8)</f>
        <v>8</v>
      </c>
      <c r="E15" s="0" t="n">
        <f aca="false">IFERROR(__xludf.dummyfunction("""COMPUTED_VALUE"""),600)</f>
        <v>600</v>
      </c>
      <c r="F15" s="0" t="str">
        <f aca="false">IFERROR(__xludf.dummyfunction("filter(Formulas!C:C,Formulas!A:A=B15)"),"""formula"":null")</f>
        <v>"formula":null</v>
      </c>
      <c r="G15" s="21" t="n">
        <f aca="false">IFERROR(__xludf.dummyfunction("""COMPUTED_VALUE"""),240)</f>
        <v>240</v>
      </c>
      <c r="H15" s="21" t="str">
        <f aca="false">IFERROR(__xludf.dummyfunction("IF(D15,filter(Productos!AC:AC,Productos!A:A=B15),)"),"fabrica")</f>
        <v>fabrica</v>
      </c>
      <c r="I15" s="0" t="str">
        <f aca="false">IFERROR(__xludf.dummyfunction("""COMPUTED_VALUE"""),"")</f>
        <v/>
      </c>
      <c r="K15" s="0" t="e">
        <f aca="false">IF(D15,"{""sku"":"""&amp;B15&amp;""", ""costo"":"&amp;C15&amp;", ""grupo"":"""&amp;A15&amp;""", ""lote"":"&amp;D15&amp;", ""tiempo"":"&amp;E15&amp;", "&amp;F15&amp;", ""vencimiento"":"&amp;G15&amp;IF(I15,", ""precio"":"&amp;I15,)&amp;", ""tipo"":"""&amp;H15&amp;"""},",)</f>
        <v>#VALUE!</v>
      </c>
    </row>
    <row r="16" customFormat="false" ht="15.75" hidden="false" customHeight="true" outlineLevel="0" collapsed="false">
      <c r="A16" s="16" t="n">
        <v>1</v>
      </c>
      <c r="B16" s="0" t="n">
        <f aca="false">IFERROR(__xludf.dummyfunction("""COMPUTED_VALUE"""),1101)</f>
        <v>1101</v>
      </c>
      <c r="C16" s="24" t="n">
        <f aca="false">IFERROR(__xludf.dummyfunction("""COMPUTED_VALUE"""),500)</f>
        <v>500</v>
      </c>
      <c r="D16" s="0" t="n">
        <f aca="false">IFERROR(__xludf.dummyfunction("""COMPUTED_VALUE"""),10)</f>
        <v>10</v>
      </c>
      <c r="E16" s="0" t="n">
        <f aca="false">IFERROR(__xludf.dummyfunction("""COMPUTED_VALUE"""),40)</f>
        <v>40</v>
      </c>
      <c r="F16" s="0" t="str">
        <f aca="false">IFERROR(__xludf.dummyfunction("filter(Formulas!C:C,Formulas!A:A=B16)"),"""formula"":[{""sku"":""1001"",""req"":8},{""sku"":""1003"",""req"":3},{""sku"":""1004"",""req"":2},{""sku"":""1002"",""req"":4}]")</f>
        <v>"formula":[{"sku":"1001","req":8},{"sku":"1003","req":3},{"sku":"1004","req":2},{"sku":"1002","req":4}]</v>
      </c>
      <c r="G16" s="21" t="n">
        <f aca="false">IFERROR(__xludf.dummyfunction("""COMPUTED_VALUE"""),3)</f>
        <v>3</v>
      </c>
      <c r="H16" s="21" t="str">
        <f aca="false">IFERROR(__xludf.dummyfunction("IF(D16,filter(Productos!AC:AC,Productos!A:A=B16),)"),"fabrica")</f>
        <v>fabrica</v>
      </c>
      <c r="I16" s="24" t="str">
        <f aca="false">IFERROR(__xludf.dummyfunction("""COMPUTED_VALUE"""),"")</f>
        <v/>
      </c>
      <c r="K16" s="0" t="e">
        <f aca="false">IF(D16,"{""sku"":"""&amp;B16&amp;""", ""costo"":"&amp;C16&amp;", ""grupo"":"""&amp;A16&amp;""", ""lote"":"&amp;D16&amp;", ""tiempo"":"&amp;E16&amp;", "&amp;F16&amp;", ""vencimiento"":"&amp;G16&amp;IF(I16,", ""precio"":"&amp;I16,)&amp;", ""tipo"":"""&amp;H16&amp;"""},",)</f>
        <v>#VALUE!</v>
      </c>
    </row>
    <row r="17" customFormat="false" ht="15.75" hidden="false" customHeight="true" outlineLevel="0" collapsed="false">
      <c r="A17" s="16" t="n">
        <v>1</v>
      </c>
      <c r="B17" s="0" t="n">
        <f aca="false">IFERROR(__xludf.dummyfunction("""COMPUTED_VALUE"""),1105)</f>
        <v>1105</v>
      </c>
      <c r="C17" s="24" t="n">
        <f aca="false">IFERROR(__xludf.dummyfunction("""COMPUTED_VALUE"""),10)</f>
        <v>10</v>
      </c>
      <c r="D17" s="0" t="n">
        <f aca="false">IFERROR(__xludf.dummyfunction("""COMPUTED_VALUE"""),10)</f>
        <v>10</v>
      </c>
      <c r="E17" s="0" t="n">
        <f aca="false">IFERROR(__xludf.dummyfunction("""COMPUTED_VALUE"""),10)</f>
        <v>10</v>
      </c>
      <c r="F17" s="0" t="str">
        <f aca="false">IFERROR(__xludf.dummyfunction("filter(Formulas!C:C,Formulas!A:A=B17)"),"""formula"":[{""sku"":""1005"",""req"":1}]")</f>
        <v>"formula":[{"sku":"1005","req":1}]</v>
      </c>
      <c r="G17" s="21" t="n">
        <f aca="false">IFERROR(__xludf.dummyfunction("""COMPUTED_VALUE"""),3)</f>
        <v>3</v>
      </c>
      <c r="H17" s="21" t="str">
        <f aca="false">IFERROR(__xludf.dummyfunction("IF(D17,filter(Productos!AC:AC,Productos!A:A=B17),)"),"fabrica")</f>
        <v>fabrica</v>
      </c>
      <c r="I17" s="24" t="str">
        <f aca="false">IFERROR(__xludf.dummyfunction("""COMPUTED_VALUE"""),"")</f>
        <v/>
      </c>
      <c r="K17" s="0" t="e">
        <f aca="false">IF(D17,"{""sku"":"""&amp;B17&amp;""", ""costo"":"&amp;C17&amp;", ""grupo"":"""&amp;A17&amp;""", ""lote"":"&amp;D17&amp;", ""tiempo"":"&amp;E17&amp;", "&amp;F17&amp;", ""vencimiento"":"&amp;G17&amp;IF(I17,", ""precio"":"&amp;I17,)&amp;", ""tipo"":"""&amp;H17&amp;"""},",)</f>
        <v>#VALUE!</v>
      </c>
    </row>
    <row r="18" customFormat="false" ht="15.75" hidden="false" customHeight="true" outlineLevel="0" collapsed="false">
      <c r="A18" s="16" t="n">
        <v>1</v>
      </c>
      <c r="B18" s="0" t="n">
        <f aca="false">IFERROR(__xludf.dummyfunction("""COMPUTED_VALUE"""),1106)</f>
        <v>1106</v>
      </c>
      <c r="C18" s="24" t="n">
        <f aca="false">IFERROR(__xludf.dummyfunction("""COMPUTED_VALUE"""),700)</f>
        <v>700</v>
      </c>
      <c r="D18" s="0" t="n">
        <f aca="false">IFERROR(__xludf.dummyfunction("""COMPUTED_VALUE"""),100)</f>
        <v>100</v>
      </c>
      <c r="E18" s="0" t="n">
        <f aca="false">IFERROR(__xludf.dummyfunction("""COMPUTED_VALUE"""),30)</f>
        <v>30</v>
      </c>
      <c r="F18" s="0" t="str">
        <f aca="false">IFERROR(__xludf.dummyfunction("filter(Formulas!C:C,Formulas!A:A=B18)"),"""formula"":[{""sku"":""1006"",""req"":1}]")</f>
        <v>"formula":[{"sku":"1006","req":1}]</v>
      </c>
      <c r="G18" s="21" t="n">
        <f aca="false">IFERROR(__xludf.dummyfunction("""COMPUTED_VALUE"""),4)</f>
        <v>4</v>
      </c>
      <c r="H18" s="21" t="str">
        <f aca="false">IFERROR(__xludf.dummyfunction("IF(D18,filter(Productos!AC:AC,Productos!A:A=B18),)"),"fabrica")</f>
        <v>fabrica</v>
      </c>
      <c r="I18" s="24" t="str">
        <f aca="false">IFERROR(__xludf.dummyfunction("""COMPUTED_VALUE"""),"")</f>
        <v/>
      </c>
      <c r="K18" s="0" t="e">
        <f aca="false">IF(D18,"{""sku"":"""&amp;B18&amp;""", ""costo"":"&amp;C18&amp;", ""grupo"":"""&amp;A18&amp;""", ""lote"":"&amp;D18&amp;", ""tiempo"":"&amp;E18&amp;", "&amp;F18&amp;", ""vencimiento"":"&amp;G18&amp;IF(I18,", ""precio"":"&amp;I18,)&amp;", ""tipo"":"""&amp;H18&amp;"""},",)</f>
        <v>#VALUE!</v>
      </c>
    </row>
    <row r="19" customFormat="false" ht="15.75" hidden="false" customHeight="true" outlineLevel="0" collapsed="false">
      <c r="A19" s="16" t="n">
        <v>1</v>
      </c>
      <c r="B19" s="0" t="n">
        <f aca="false">IFERROR(__xludf.dummyfunction("""COMPUTED_VALUE"""),1107)</f>
        <v>1107</v>
      </c>
      <c r="C19" s="24" t="n">
        <f aca="false">IFERROR(__xludf.dummyfunction("""COMPUTED_VALUE"""),10)</f>
        <v>10</v>
      </c>
      <c r="D19" s="0" t="n">
        <f aca="false">IFERROR(__xludf.dummyfunction("""COMPUTED_VALUE"""),11)</f>
        <v>11</v>
      </c>
      <c r="E19" s="0" t="n">
        <f aca="false">IFERROR(__xludf.dummyfunction("""COMPUTED_VALUE"""),20)</f>
        <v>20</v>
      </c>
      <c r="F19" s="0" t="str">
        <f aca="false">IFERROR(__xludf.dummyfunction("filter(Formulas!C:C,Formulas!A:A=B19)"),"""formula"":[{""sku"":""1007"",""req"":1}]")</f>
        <v>"formula":[{"sku":"1007","req":1}]</v>
      </c>
      <c r="G19" s="21" t="n">
        <f aca="false">IFERROR(__xludf.dummyfunction("""COMPUTED_VALUE"""),2)</f>
        <v>2</v>
      </c>
      <c r="H19" s="21" t="str">
        <f aca="false">IFERROR(__xludf.dummyfunction("IF(D19,filter(Productos!AC:AC,Productos!A:A=B19),)"),"fabrica")</f>
        <v>fabrica</v>
      </c>
      <c r="I19" s="24" t="str">
        <f aca="false">IFERROR(__xludf.dummyfunction("""COMPUTED_VALUE"""),"")</f>
        <v/>
      </c>
      <c r="K19" s="0" t="e">
        <f aca="false">IF(D19,"{""sku"":"""&amp;B19&amp;""", ""costo"":"&amp;C19&amp;", ""grupo"":"""&amp;A19&amp;""", ""lote"":"&amp;D19&amp;", ""tiempo"":"&amp;E19&amp;", "&amp;F19&amp;", ""vencimiento"":"&amp;G19&amp;IF(I19,", ""precio"":"&amp;I19,)&amp;", ""tipo"":"""&amp;H19&amp;"""},",)</f>
        <v>#VALUE!</v>
      </c>
    </row>
    <row r="20" customFormat="false" ht="15.75" hidden="false" customHeight="true" outlineLevel="0" collapsed="false">
      <c r="A20" s="16" t="n">
        <v>1</v>
      </c>
      <c r="B20" s="0" t="n">
        <f aca="false">IFERROR(__xludf.dummyfunction("""COMPUTED_VALUE"""),1108)</f>
        <v>1108</v>
      </c>
      <c r="C20" s="24" t="n">
        <f aca="false">IFERROR(__xludf.dummyfunction("""COMPUTED_VALUE"""),10)</f>
        <v>10</v>
      </c>
      <c r="D20" s="0" t="n">
        <f aca="false">IFERROR(__xludf.dummyfunction("""COMPUTED_VALUE"""),6)</f>
        <v>6</v>
      </c>
      <c r="E20" s="0" t="n">
        <f aca="false">IFERROR(__xludf.dummyfunction("""COMPUTED_VALUE"""),20)</f>
        <v>20</v>
      </c>
      <c r="F20" s="0" t="str">
        <f aca="false">IFERROR(__xludf.dummyfunction("filter(Formulas!C:C,Formulas!A:A=B20)"),"""formula"":[{""sku"":""1008"",""req"":1}]")</f>
        <v>"formula":[{"sku":"1008","req":1}]</v>
      </c>
      <c r="G20" s="21" t="n">
        <f aca="false">IFERROR(__xludf.dummyfunction("""COMPUTED_VALUE"""),4)</f>
        <v>4</v>
      </c>
      <c r="H20" s="21" t="str">
        <f aca="false">IFERROR(__xludf.dummyfunction("IF(D20,filter(Productos!AC:AC,Productos!A:A=B20),)"),"fabrica")</f>
        <v>fabrica</v>
      </c>
      <c r="I20" s="24" t="str">
        <f aca="false">IFERROR(__xludf.dummyfunction("""COMPUTED_VALUE"""),"")</f>
        <v/>
      </c>
      <c r="K20" s="0" t="e">
        <f aca="false">IF(D20,"{""sku"":"""&amp;B20&amp;""", ""costo"":"&amp;C20&amp;", ""grupo"":"""&amp;A20&amp;""", ""lote"":"&amp;D20&amp;", ""tiempo"":"&amp;E20&amp;", "&amp;F20&amp;", ""vencimiento"":"&amp;G20&amp;IF(I20,", ""precio"":"&amp;I20,)&amp;", ""tipo"":"""&amp;H20&amp;"""},",)</f>
        <v>#VALUE!</v>
      </c>
    </row>
    <row r="21" customFormat="false" ht="15.75" hidden="false" customHeight="true" outlineLevel="0" collapsed="false">
      <c r="A21" s="16" t="n">
        <v>1</v>
      </c>
      <c r="B21" s="0" t="n">
        <f aca="false">IFERROR(__xludf.dummyfunction("""COMPUTED_VALUE"""),1109)</f>
        <v>1109</v>
      </c>
      <c r="C21" s="24" t="n">
        <f aca="false">IFERROR(__xludf.dummyfunction("""COMPUTED_VALUE"""),10)</f>
        <v>10</v>
      </c>
      <c r="D21" s="0" t="n">
        <f aca="false">IFERROR(__xludf.dummyfunction("""COMPUTED_VALUE"""),12)</f>
        <v>12</v>
      </c>
      <c r="E21" s="0" t="n">
        <f aca="false">IFERROR(__xludf.dummyfunction("""COMPUTED_VALUE"""),30)</f>
        <v>30</v>
      </c>
      <c r="F21" s="0" t="str">
        <f aca="false">IFERROR(__xludf.dummyfunction("filter(Formulas!C:C,Formulas!A:A=B21)"),"""formula"":[{""sku"":""1009"",""req"":1}]")</f>
        <v>"formula":[{"sku":"1009","req":1}]</v>
      </c>
      <c r="G21" s="21" t="n">
        <f aca="false">IFERROR(__xludf.dummyfunction("""COMPUTED_VALUE"""),1.5)</f>
        <v>1.5</v>
      </c>
      <c r="H21" s="21" t="str">
        <f aca="false">IFERROR(__xludf.dummyfunction("IF(D21,filter(Productos!AC:AC,Productos!A:A=B21),)"),"fabrica")</f>
        <v>fabrica</v>
      </c>
      <c r="I21" s="24" t="str">
        <f aca="false">IFERROR(__xludf.dummyfunction("""COMPUTED_VALUE"""),"")</f>
        <v/>
      </c>
      <c r="K21" s="0" t="e">
        <f aca="false">IF(D21,"{""sku"":"""&amp;B21&amp;""", ""costo"":"&amp;C21&amp;", ""grupo"":"""&amp;A21&amp;""", ""lote"":"&amp;D21&amp;", ""tiempo"":"&amp;E21&amp;", "&amp;F21&amp;", ""vencimiento"":"&amp;G21&amp;IF(I21,", ""precio"":"&amp;I21,)&amp;", ""tipo"":"""&amp;H21&amp;"""},",)</f>
        <v>#VALUE!</v>
      </c>
    </row>
    <row r="22" customFormat="false" ht="15.75" hidden="false" customHeight="true" outlineLevel="0" collapsed="false">
      <c r="A22" s="16" t="n">
        <v>1</v>
      </c>
      <c r="B22" s="0" t="n">
        <f aca="false">IFERROR(__xludf.dummyfunction("""COMPUTED_VALUE"""),1110)</f>
        <v>1110</v>
      </c>
      <c r="C22" s="24" t="n">
        <f aca="false">IFERROR(__xludf.dummyfunction("""COMPUTED_VALUE"""),10)</f>
        <v>10</v>
      </c>
      <c r="D22" s="0" t="n">
        <f aca="false">IFERROR(__xludf.dummyfunction("""COMPUTED_VALUE"""),6)</f>
        <v>6</v>
      </c>
      <c r="E22" s="0" t="n">
        <f aca="false">IFERROR(__xludf.dummyfunction("""COMPUTED_VALUE"""),10)</f>
        <v>10</v>
      </c>
      <c r="F22" s="0" t="str">
        <f aca="false">IFERROR(__xludf.dummyfunction("filter(Formulas!C:C,Formulas!A:A=B22)"),"""formula"":[{""sku"":""1010"",""req"":1}]")</f>
        <v>"formula":[{"sku":"1010","req":1}]</v>
      </c>
      <c r="G22" s="21" t="n">
        <f aca="false">IFERROR(__xludf.dummyfunction("""COMPUTED_VALUE"""),2)</f>
        <v>2</v>
      </c>
      <c r="H22" s="21" t="str">
        <f aca="false">IFERROR(__xludf.dummyfunction("IF(D22,filter(Productos!AC:AC,Productos!A:A=B22),)"),"fabrica")</f>
        <v>fabrica</v>
      </c>
      <c r="I22" s="24" t="str">
        <f aca="false">IFERROR(__xludf.dummyfunction("""COMPUTED_VALUE"""),"")</f>
        <v/>
      </c>
      <c r="K22" s="0" t="e">
        <f aca="false">IF(D22,"{""sku"":"""&amp;B22&amp;""", ""costo"":"&amp;C22&amp;", ""grupo"":"""&amp;A22&amp;""", ""lote"":"&amp;D22&amp;", ""tiempo"":"&amp;E22&amp;", "&amp;F22&amp;", ""vencimiento"":"&amp;G22&amp;IF(I22,", ""precio"":"&amp;I22,)&amp;", ""tipo"":"""&amp;H22&amp;"""},",)</f>
        <v>#VALUE!</v>
      </c>
    </row>
    <row r="23" customFormat="false" ht="15.75" hidden="false" customHeight="true" outlineLevel="0" collapsed="false">
      <c r="A23" s="16" t="n">
        <v>1</v>
      </c>
      <c r="B23" s="0" t="n">
        <f aca="false">IFERROR(__xludf.dummyfunction("""COMPUTED_VALUE"""),1111)</f>
        <v>1111</v>
      </c>
      <c r="C23" s="24" t="n">
        <f aca="false">IFERROR(__xludf.dummyfunction("""COMPUTED_VALUE"""),120)</f>
        <v>120</v>
      </c>
      <c r="D23" s="0" t="n">
        <f aca="false">IFERROR(__xludf.dummyfunction("""COMPUTED_VALUE"""),2)</f>
        <v>2</v>
      </c>
      <c r="E23" s="0" t="n">
        <f aca="false">IFERROR(__xludf.dummyfunction("""COMPUTED_VALUE"""),30)</f>
        <v>30</v>
      </c>
      <c r="F23" s="0" t="str">
        <f aca="false">IFERROR(__xludf.dummyfunction("filter(Formulas!C:C,Formulas!A:A=B23)"),"""formula"":[{""sku"":""1011"",""req"":2}]")</f>
        <v>"formula":[{"sku":"1011","req":2}]</v>
      </c>
      <c r="G23" s="21" t="n">
        <f aca="false">IFERROR(__xludf.dummyfunction("""COMPUTED_VALUE"""),12)</f>
        <v>12</v>
      </c>
      <c r="H23" s="21" t="str">
        <f aca="false">IFERROR(__xludf.dummyfunction("IF(D23,filter(Productos!AC:AC,Productos!A:A=B23),)"),"fabrica")</f>
        <v>fabrica</v>
      </c>
      <c r="I23" s="24" t="str">
        <f aca="false">IFERROR(__xludf.dummyfunction("""COMPUTED_VALUE"""),"")</f>
        <v/>
      </c>
      <c r="K23" s="0" t="e">
        <f aca="false">IF(D23,"{""sku"":"""&amp;B23&amp;""", ""costo"":"&amp;C23&amp;", ""grupo"":"""&amp;A23&amp;""", ""lote"":"&amp;D23&amp;", ""tiempo"":"&amp;E23&amp;", "&amp;F23&amp;", ""vencimiento"":"&amp;G23&amp;IF(I23,", ""precio"":"&amp;I23,)&amp;", ""tipo"":"""&amp;H23&amp;"""},",)</f>
        <v>#VALUE!</v>
      </c>
    </row>
    <row r="24" customFormat="false" ht="15.75" hidden="false" customHeight="true" outlineLevel="0" collapsed="false">
      <c r="A24" s="16" t="n">
        <v>1</v>
      </c>
      <c r="B24" s="0" t="n">
        <f aca="false">IFERROR(__xludf.dummyfunction("""COMPUTED_VALUE"""),1112)</f>
        <v>1112</v>
      </c>
      <c r="C24" s="24" t="n">
        <f aca="false">IFERROR(__xludf.dummyfunction("""COMPUTED_VALUE"""),10)</f>
        <v>10</v>
      </c>
      <c r="D24" s="0" t="n">
        <f aca="false">IFERROR(__xludf.dummyfunction("""COMPUTED_VALUE"""),20)</f>
        <v>20</v>
      </c>
      <c r="E24" s="0" t="n">
        <f aca="false">IFERROR(__xludf.dummyfunction("""COMPUTED_VALUE"""),10)</f>
        <v>10</v>
      </c>
      <c r="F24" s="0" t="str">
        <f aca="false">IFERROR(__xludf.dummyfunction("filter(Formulas!C:C,Formulas!A:A=B24)"),"""formula"":[{""sku"":""1012"",""req"":1}]")</f>
        <v>"formula":[{"sku":"1012","req":1}]</v>
      </c>
      <c r="G24" s="21" t="n">
        <f aca="false">IFERROR(__xludf.dummyfunction("""COMPUTED_VALUE"""),24)</f>
        <v>24</v>
      </c>
      <c r="H24" s="21" t="str">
        <f aca="false">IFERROR(__xludf.dummyfunction("IF(D24,filter(Productos!AC:AC,Productos!A:A=B24),)"),"fabrica")</f>
        <v>fabrica</v>
      </c>
      <c r="I24" s="24" t="str">
        <f aca="false">IFERROR(__xludf.dummyfunction("""COMPUTED_VALUE"""),"")</f>
        <v/>
      </c>
      <c r="K24" s="0" t="e">
        <f aca="false">IF(D24,"{""sku"":"""&amp;B24&amp;""", ""costo"":"&amp;C24&amp;", ""grupo"":"""&amp;A24&amp;""", ""lote"":"&amp;D24&amp;", ""tiempo"":"&amp;E24&amp;", "&amp;F24&amp;", ""vencimiento"":"&amp;G24&amp;IF(I24,", ""precio"":"&amp;I24,)&amp;", ""tipo"":"""&amp;H24&amp;"""},",)</f>
        <v>#VALUE!</v>
      </c>
    </row>
    <row r="25" customFormat="false" ht="15.75" hidden="false" customHeight="true" outlineLevel="0" collapsed="false">
      <c r="A25" s="16" t="n">
        <v>1</v>
      </c>
      <c r="B25" s="0" t="n">
        <f aca="false">IFERROR(__xludf.dummyfunction("""COMPUTED_VALUE"""),1114)</f>
        <v>1114</v>
      </c>
      <c r="C25" s="24" t="n">
        <f aca="false">IFERROR(__xludf.dummyfunction("""COMPUTED_VALUE"""),10)</f>
        <v>10</v>
      </c>
      <c r="D25" s="0" t="n">
        <f aca="false">IFERROR(__xludf.dummyfunction("""COMPUTED_VALUE"""),4)</f>
        <v>4</v>
      </c>
      <c r="E25" s="0" t="n">
        <f aca="false">IFERROR(__xludf.dummyfunction("""COMPUTED_VALUE"""),10)</f>
        <v>10</v>
      </c>
      <c r="F25" s="0" t="str">
        <f aca="false">IFERROR(__xludf.dummyfunction("filter(Formulas!C:C,Formulas!A:A=B25)"),"""formula"":[{""sku"":""1014"",""req"":1}]")</f>
        <v>"formula":[{"sku":"1014","req":1}]</v>
      </c>
      <c r="G25" s="21" t="n">
        <f aca="false">IFERROR(__xludf.dummyfunction("""COMPUTED_VALUE"""),2)</f>
        <v>2</v>
      </c>
      <c r="H25" s="21" t="str">
        <f aca="false">IFERROR(__xludf.dummyfunction("IF(D25,filter(Productos!AC:AC,Productos!A:A=B25),)"),"fabrica")</f>
        <v>fabrica</v>
      </c>
      <c r="I25" s="24" t="str">
        <f aca="false">IFERROR(__xludf.dummyfunction("""COMPUTED_VALUE"""),"")</f>
        <v/>
      </c>
      <c r="K25" s="0" t="e">
        <f aca="false">IF(D25,"{""sku"":"""&amp;B25&amp;""", ""costo"":"&amp;C25&amp;", ""grupo"":"""&amp;A25&amp;""", ""lote"":"&amp;D25&amp;", ""tiempo"":"&amp;E25&amp;", "&amp;F25&amp;", ""vencimiento"":"&amp;G25&amp;IF(I25,", ""precio"":"&amp;I25,)&amp;", ""tipo"":"""&amp;H25&amp;"""},",)</f>
        <v>#VALUE!</v>
      </c>
    </row>
    <row r="26" customFormat="false" ht="15.75" hidden="false" customHeight="true" outlineLevel="0" collapsed="false">
      <c r="A26" s="16" t="n">
        <v>1</v>
      </c>
      <c r="B26" s="0" t="n">
        <f aca="false">IFERROR(__xludf.dummyfunction("""COMPUTED_VALUE"""),1115)</f>
        <v>1115</v>
      </c>
      <c r="C26" s="24" t="n">
        <f aca="false">IFERROR(__xludf.dummyfunction("""COMPUTED_VALUE"""),10)</f>
        <v>10</v>
      </c>
      <c r="D26" s="0" t="n">
        <f aca="false">IFERROR(__xludf.dummyfunction("""COMPUTED_VALUE"""),8)</f>
        <v>8</v>
      </c>
      <c r="E26" s="0" t="n">
        <f aca="false">IFERROR(__xludf.dummyfunction("""COMPUTED_VALUE"""),10)</f>
        <v>10</v>
      </c>
      <c r="F26" s="0" t="str">
        <f aca="false">IFERROR(__xludf.dummyfunction("filter(Formulas!C:C,Formulas!A:A=B26)"),"""formula"":[{""sku"":""1015"",""req"":2}]")</f>
        <v>"formula":[{"sku":"1015","req":2}]</v>
      </c>
      <c r="G26" s="21" t="n">
        <f aca="false">IFERROR(__xludf.dummyfunction("""COMPUTED_VALUE"""),3)</f>
        <v>3</v>
      </c>
      <c r="H26" s="21" t="str">
        <f aca="false">IFERROR(__xludf.dummyfunction("IF(D26,filter(Productos!AC:AC,Productos!A:A=B26),)"),"fabrica")</f>
        <v>fabrica</v>
      </c>
      <c r="I26" s="24" t="str">
        <f aca="false">IFERROR(__xludf.dummyfunction("""COMPUTED_VALUE"""),"")</f>
        <v/>
      </c>
      <c r="K26" s="0" t="e">
        <f aca="false">IF(D26,"{""sku"":"""&amp;B26&amp;""", ""costo"":"&amp;C26&amp;", ""grupo"":"""&amp;A26&amp;""", ""lote"":"&amp;D26&amp;", ""tiempo"":"&amp;E26&amp;", "&amp;F26&amp;", ""vencimiento"":"&amp;G26&amp;IF(I26,", ""precio"":"&amp;I26,)&amp;", ""tipo"":"""&amp;H26&amp;"""},",)</f>
        <v>#VALUE!</v>
      </c>
    </row>
    <row r="27" customFormat="false" ht="15.75" hidden="false" customHeight="true" outlineLevel="0" collapsed="false">
      <c r="A27" s="16" t="n">
        <v>1</v>
      </c>
      <c r="B27" s="0" t="n">
        <f aca="false">IFERROR(__xludf.dummyfunction("""COMPUTED_VALUE"""),1116)</f>
        <v>1116</v>
      </c>
      <c r="C27" s="24" t="n">
        <f aca="false">IFERROR(__xludf.dummyfunction("""COMPUTED_VALUE"""),10)</f>
        <v>10</v>
      </c>
      <c r="D27" s="0" t="n">
        <f aca="false">IFERROR(__xludf.dummyfunction("""COMPUTED_VALUE"""),10)</f>
        <v>10</v>
      </c>
      <c r="E27" s="0" t="n">
        <f aca="false">IFERROR(__xludf.dummyfunction("""COMPUTED_VALUE"""),40)</f>
        <v>40</v>
      </c>
      <c r="F27" s="0" t="str">
        <f aca="false">IFERROR(__xludf.dummyfunction("filter(Formulas!C:C,Formulas!A:A=B27)"),"""formula"":[{""sku"":""1016"",""req"":11}]")</f>
        <v>"formula":[{"sku":"1016","req":11}]</v>
      </c>
      <c r="G27" s="21" t="n">
        <f aca="false">IFERROR(__xludf.dummyfunction("""COMPUTED_VALUE"""),24)</f>
        <v>24</v>
      </c>
      <c r="H27" s="21" t="str">
        <f aca="false">IFERROR(__xludf.dummyfunction("IF(D27,filter(Productos!AC:AC,Productos!A:A=B27),)"),"fabrica")</f>
        <v>fabrica</v>
      </c>
      <c r="I27" s="0" t="str">
        <f aca="false">IFERROR(__xludf.dummyfunction("""COMPUTED_VALUE"""),"")</f>
        <v/>
      </c>
      <c r="K27" s="0" t="e">
        <f aca="false">IF(D27,"{""sku"":"""&amp;B27&amp;""", ""costo"":"&amp;C27&amp;", ""grupo"":"""&amp;A27&amp;""", ""lote"":"&amp;D27&amp;", ""tiempo"":"&amp;E27&amp;", "&amp;F27&amp;", ""vencimiento"":"&amp;G27&amp;IF(I27,", ""precio"":"&amp;I27,)&amp;", ""tipo"":"""&amp;H27&amp;"""},",)</f>
        <v>#VALUE!</v>
      </c>
    </row>
    <row r="28" customFormat="false" ht="15.75" hidden="false" customHeight="true" outlineLevel="0" collapsed="false">
      <c r="A28" s="16" t="n">
        <v>1</v>
      </c>
      <c r="B28" s="0" t="n">
        <f aca="false">IFERROR(__xludf.dummyfunction("""COMPUTED_VALUE"""),1201)</f>
        <v>1201</v>
      </c>
      <c r="C28" s="24" t="n">
        <f aca="false">IFERROR(__xludf.dummyfunction("""COMPUTED_VALUE"""),10)</f>
        <v>10</v>
      </c>
      <c r="D28" s="0" t="n">
        <f aca="false">IFERROR(__xludf.dummyfunction("""COMPUTED_VALUE"""),10)</f>
        <v>10</v>
      </c>
      <c r="E28" s="0" t="n">
        <f aca="false">IFERROR(__xludf.dummyfunction("""COMPUTED_VALUE"""),10)</f>
        <v>10</v>
      </c>
      <c r="F28" s="0" t="str">
        <f aca="false">IFERROR(__xludf.dummyfunction("filter(Formulas!C:C,Formulas!A:A=B28)"),"""formula"":[{""sku"":""1101"",""req"":1}]")</f>
        <v>"formula":[{"sku":"1101","req":1}]</v>
      </c>
      <c r="G28" s="21" t="n">
        <f aca="false">IFERROR(__xludf.dummyfunction("""COMPUTED_VALUE"""),2)</f>
        <v>2</v>
      </c>
      <c r="H28" s="21" t="str">
        <f aca="false">IFERROR(__xludf.dummyfunction("IF(D28,filter(Productos!AC:AC,Productos!A:A=B28),)"),"fabrica")</f>
        <v>fabrica</v>
      </c>
      <c r="I28" s="24" t="str">
        <f aca="false">IFERROR(__xludf.dummyfunction("""COMPUTED_VALUE"""),"")</f>
        <v/>
      </c>
      <c r="K28" s="0" t="e">
        <f aca="false">IF(D28,"{""sku"":"""&amp;B28&amp;""", ""costo"":"&amp;C28&amp;", ""grupo"":"""&amp;A28&amp;""", ""lote"":"&amp;D28&amp;", ""tiempo"":"&amp;E28&amp;", "&amp;F28&amp;", ""vencimiento"":"&amp;G28&amp;IF(I28,", ""precio"":"&amp;I28,)&amp;", ""tipo"":"""&amp;H28&amp;"""},",)</f>
        <v>#VALUE!</v>
      </c>
    </row>
    <row r="29" customFormat="false" ht="15.75" hidden="false" customHeight="true" outlineLevel="0" collapsed="false">
      <c r="A29" s="16" t="n">
        <v>1</v>
      </c>
      <c r="B29" s="0" t="n">
        <f aca="false">IFERROR(__xludf.dummyfunction("""COMPUTED_VALUE"""),1207)</f>
        <v>1207</v>
      </c>
      <c r="C29" s="24" t="n">
        <f aca="false">IFERROR(__xludf.dummyfunction("""COMPUTED_VALUE"""),30)</f>
        <v>30</v>
      </c>
      <c r="D29" s="0" t="n">
        <f aca="false">IFERROR(__xludf.dummyfunction("""COMPUTED_VALUE"""),12)</f>
        <v>12</v>
      </c>
      <c r="E29" s="0" t="n">
        <f aca="false">IFERROR(__xludf.dummyfunction("""COMPUTED_VALUE"""),20)</f>
        <v>20</v>
      </c>
      <c r="F29" s="0" t="str">
        <f aca="false">IFERROR(__xludf.dummyfunction("filter(Formulas!C:C,Formulas!A:A=B29)"),"""formula"":[{""sku"":""1007"",""req"":1}]")</f>
        <v>"formula":[{"sku":"1007","req":1}]</v>
      </c>
      <c r="G29" s="21" t="n">
        <f aca="false">IFERROR(__xludf.dummyfunction("""COMPUTED_VALUE"""),2)</f>
        <v>2</v>
      </c>
      <c r="H29" s="21" t="str">
        <f aca="false">IFERROR(__xludf.dummyfunction("IF(D29,filter(Productos!AC:AC,Productos!A:A=B29),)"),"fabrica")</f>
        <v>fabrica</v>
      </c>
      <c r="I29" s="24" t="str">
        <f aca="false">IFERROR(__xludf.dummyfunction("""COMPUTED_VALUE"""),"")</f>
        <v/>
      </c>
      <c r="K29" s="0" t="e">
        <f aca="false">IF(D29,"{""sku"":"""&amp;B29&amp;""", ""costo"":"&amp;C29&amp;", ""grupo"":"""&amp;A29&amp;""", ""lote"":"&amp;D29&amp;", ""tiempo"":"&amp;E29&amp;", "&amp;F29&amp;", ""vencimiento"":"&amp;G29&amp;IF(I29,", ""precio"":"&amp;I29,)&amp;", ""tipo"":"""&amp;H29&amp;"""},",)</f>
        <v>#VALUE!</v>
      </c>
    </row>
    <row r="30" customFormat="false" ht="15.75" hidden="false" customHeight="true" outlineLevel="0" collapsed="false">
      <c r="A30" s="16" t="n">
        <v>1</v>
      </c>
      <c r="B30" s="0" t="n">
        <f aca="false">IFERROR(__xludf.dummyfunction("""COMPUTED_VALUE"""),1209)</f>
        <v>1209</v>
      </c>
      <c r="C30" s="24" t="n">
        <f aca="false">IFERROR(__xludf.dummyfunction("""COMPUTED_VALUE"""),30)</f>
        <v>30</v>
      </c>
      <c r="D30" s="0" t="n">
        <f aca="false">IFERROR(__xludf.dummyfunction("""COMPUTED_VALUE"""),14)</f>
        <v>14</v>
      </c>
      <c r="E30" s="0" t="n">
        <f aca="false">IFERROR(__xludf.dummyfunction("""COMPUTED_VALUE"""),30)</f>
        <v>30</v>
      </c>
      <c r="F30" s="0" t="str">
        <f aca="false">IFERROR(__xludf.dummyfunction("filter(Formulas!C:C,Formulas!A:A=B30)"),"""formula"":[{""sku"":""1009"",""req"":1}]")</f>
        <v>"formula":[{"sku":"1009","req":1}]</v>
      </c>
      <c r="G30" s="21" t="n">
        <f aca="false">IFERROR(__xludf.dummyfunction("""COMPUTED_VALUE"""),1.5)</f>
        <v>1.5</v>
      </c>
      <c r="H30" s="21" t="str">
        <f aca="false">IFERROR(__xludf.dummyfunction("IF(D30,filter(Productos!AC:AC,Productos!A:A=B30),)"),"fabrica")</f>
        <v>fabrica</v>
      </c>
      <c r="I30" s="24" t="str">
        <f aca="false">IFERROR(__xludf.dummyfunction("""COMPUTED_VALUE"""),"")</f>
        <v/>
      </c>
      <c r="K30" s="0" t="e">
        <f aca="false">IF(D30,"{""sku"":"""&amp;B30&amp;""", ""costo"":"&amp;C30&amp;", ""grupo"":"""&amp;A30&amp;""", ""lote"":"&amp;D30&amp;", ""tiempo"":"&amp;E30&amp;", "&amp;F30&amp;", ""vencimiento"":"&amp;G30&amp;IF(I30,", ""precio"":"&amp;I30,)&amp;", ""tipo"":"""&amp;H30&amp;"""},",)</f>
        <v>#VALUE!</v>
      </c>
    </row>
    <row r="31" customFormat="false" ht="15.75" hidden="false" customHeight="true" outlineLevel="0" collapsed="false">
      <c r="A31" s="16" t="n">
        <v>1</v>
      </c>
      <c r="B31" s="0" t="n">
        <f aca="false">IFERROR(__xludf.dummyfunction("""COMPUTED_VALUE"""),1210)</f>
        <v>1210</v>
      </c>
      <c r="C31" s="24" t="n">
        <f aca="false">IFERROR(__xludf.dummyfunction("""COMPUTED_VALUE"""),10)</f>
        <v>10</v>
      </c>
      <c r="D31" s="0" t="n">
        <f aca="false">IFERROR(__xludf.dummyfunction("""COMPUTED_VALUE"""),9)</f>
        <v>9</v>
      </c>
      <c r="E31" s="0" t="n">
        <f aca="false">IFERROR(__xludf.dummyfunction("""COMPUTED_VALUE"""),10)</f>
        <v>10</v>
      </c>
      <c r="F31" s="0" t="str">
        <f aca="false">IFERROR(__xludf.dummyfunction("filter(Formulas!C:C,Formulas!A:A=B31)"),"""formula"":[{""sku"":""1010"",""req"":1}]")</f>
        <v>"formula":[{"sku":"1010","req":1}]</v>
      </c>
      <c r="G31" s="21" t="n">
        <f aca="false">IFERROR(__xludf.dummyfunction("""COMPUTED_VALUE"""),2.3)</f>
        <v>2.3</v>
      </c>
      <c r="H31" s="21" t="str">
        <f aca="false">IFERROR(__xludf.dummyfunction("IF(D31,filter(Productos!AC:AC,Productos!A:A=B31),)"),"fabrica")</f>
        <v>fabrica</v>
      </c>
      <c r="I31" s="24" t="str">
        <f aca="false">IFERROR(__xludf.dummyfunction("""COMPUTED_VALUE"""),"")</f>
        <v/>
      </c>
      <c r="K31" s="0" t="e">
        <f aca="false">IF(D31,"{""sku"":"""&amp;B31&amp;""", ""costo"":"&amp;C31&amp;", ""grupo"":"""&amp;A31&amp;""", ""lote"":"&amp;D31&amp;", ""tiempo"":"&amp;E31&amp;", "&amp;F31&amp;", ""vencimiento"":"&amp;G31&amp;IF(I31,", ""precio"":"&amp;I31,)&amp;", ""tipo"":"""&amp;H31&amp;"""},",)</f>
        <v>#VALUE!</v>
      </c>
    </row>
    <row r="32" customFormat="false" ht="15.75" hidden="false" customHeight="true" outlineLevel="0" collapsed="false">
      <c r="A32" s="16" t="n">
        <v>1</v>
      </c>
      <c r="B32" s="0" t="n">
        <f aca="false">IFERROR(__xludf.dummyfunction("""COMPUTED_VALUE"""),1211)</f>
        <v>1211</v>
      </c>
      <c r="C32" s="24" t="n">
        <f aca="false">IFERROR(__xludf.dummyfunction("""COMPUTED_VALUE"""),10)</f>
        <v>10</v>
      </c>
      <c r="D32" s="0" t="n">
        <f aca="false">IFERROR(__xludf.dummyfunction("""COMPUTED_VALUE"""),10)</f>
        <v>10</v>
      </c>
      <c r="E32" s="0" t="n">
        <f aca="false">IFERROR(__xludf.dummyfunction("""COMPUTED_VALUE"""),10)</f>
        <v>10</v>
      </c>
      <c r="F32" s="0" t="str">
        <f aca="false">IFERROR(__xludf.dummyfunction("filter(Formulas!C:C,Formulas!A:A=B32)"),"""formula"":[{""sku"":""1111"",""req"":1}]")</f>
        <v>"formula":[{"sku":"1111","req":1}]</v>
      </c>
      <c r="G32" s="21" t="n">
        <f aca="false">IFERROR(__xludf.dummyfunction("""COMPUTED_VALUE"""),12)</f>
        <v>12</v>
      </c>
      <c r="H32" s="21" t="str">
        <f aca="false">IFERROR(__xludf.dummyfunction("IF(D32,filter(Productos!AC:AC,Productos!A:A=B32),)"),"fabrica")</f>
        <v>fabrica</v>
      </c>
      <c r="I32" s="24" t="str">
        <f aca="false">IFERROR(__xludf.dummyfunction("""COMPUTED_VALUE"""),"")</f>
        <v/>
      </c>
      <c r="K32" s="0" t="e">
        <f aca="false">IF(D32,"{""sku"":"""&amp;B32&amp;""", ""costo"":"&amp;C32&amp;", ""grupo"":"""&amp;A32&amp;""", ""lote"":"&amp;D32&amp;", ""tiempo"":"&amp;E32&amp;", "&amp;F32&amp;", ""vencimiento"":"&amp;G32&amp;IF(I32,", ""precio"":"&amp;I32,)&amp;", ""tipo"":"""&amp;H32&amp;"""},",)</f>
        <v>#VALUE!</v>
      </c>
    </row>
    <row r="33" customFormat="false" ht="15.75" hidden="false" customHeight="true" outlineLevel="0" collapsed="false">
      <c r="A33" s="16" t="n">
        <v>1</v>
      </c>
      <c r="B33" s="0" t="n">
        <f aca="false">IFERROR(__xludf.dummyfunction("""COMPUTED_VALUE"""),1215)</f>
        <v>1215</v>
      </c>
      <c r="C33" s="24" t="n">
        <f aca="false">IFERROR(__xludf.dummyfunction("""COMPUTED_VALUE"""),0)</f>
        <v>0</v>
      </c>
      <c r="D33" s="0" t="n">
        <f aca="false">IFERROR(__xludf.dummyfunction("""COMPUTED_VALUE"""),8)</f>
        <v>8</v>
      </c>
      <c r="E33" s="0" t="n">
        <f aca="false">IFERROR(__xludf.dummyfunction("""COMPUTED_VALUE"""),10)</f>
        <v>10</v>
      </c>
      <c r="F33" s="0" t="str">
        <f aca="false">IFERROR(__xludf.dummyfunction("filter(Formulas!C:C,Formulas!A:A=B33)"),"""formula"":[{""sku"":""1015"",""req"":4}]")</f>
        <v>"formula":[{"sku":"1015","req":4}]</v>
      </c>
      <c r="G33" s="21" t="n">
        <f aca="false">IFERROR(__xludf.dummyfunction("""COMPUTED_VALUE"""),3)</f>
        <v>3</v>
      </c>
      <c r="H33" s="21" t="str">
        <f aca="false">IFERROR(__xludf.dummyfunction("IF(D33,filter(Productos!AC:AC,Productos!A:A=B33),)"),"fabrica")</f>
        <v>fabrica</v>
      </c>
      <c r="I33" s="24" t="str">
        <f aca="false">IFERROR(__xludf.dummyfunction("""COMPUTED_VALUE"""),"")</f>
        <v/>
      </c>
      <c r="K33" s="0" t="e">
        <f aca="false">IF(D33,"{""sku"":"""&amp;B33&amp;""", ""costo"":"&amp;C33&amp;", ""grupo"":"""&amp;A33&amp;""", ""lote"":"&amp;D33&amp;", ""tiempo"":"&amp;E33&amp;", "&amp;F33&amp;", ""vencimiento"":"&amp;G33&amp;IF(I33,", ""precio"":"&amp;I33,)&amp;", ""tipo"":"""&amp;H33&amp;"""},",)</f>
        <v>#VALUE!</v>
      </c>
    </row>
    <row r="34" customFormat="false" ht="15.75" hidden="false" customHeight="true" outlineLevel="0" collapsed="false">
      <c r="A34" s="16" t="n">
        <v>1</v>
      </c>
      <c r="B34" s="0" t="n">
        <f aca="false">IFERROR(__xludf.dummyfunction("""COMPUTED_VALUE"""),1216)</f>
        <v>1216</v>
      </c>
      <c r="C34" s="24" t="n">
        <f aca="false">IFERROR(__xludf.dummyfunction("""COMPUTED_VALUE"""),10)</f>
        <v>10</v>
      </c>
      <c r="D34" s="0" t="n">
        <f aca="false">IFERROR(__xludf.dummyfunction("""COMPUTED_VALUE"""),10)</f>
        <v>10</v>
      </c>
      <c r="E34" s="0" t="n">
        <f aca="false">IFERROR(__xludf.dummyfunction("""COMPUTED_VALUE"""),30)</f>
        <v>30</v>
      </c>
      <c r="F34" s="0" t="str">
        <f aca="false">IFERROR(__xludf.dummyfunction("filter(Formulas!C:C,Formulas!A:A=B34)"),"""formula"":[{""sku"":""1016"",""req"":2}]")</f>
        <v>"formula":[{"sku":"1016","req":2}]</v>
      </c>
      <c r="G34" s="21" t="n">
        <f aca="false">IFERROR(__xludf.dummyfunction("""COMPUTED_VALUE"""),24)</f>
        <v>24</v>
      </c>
      <c r="H34" s="21" t="str">
        <f aca="false">IFERROR(__xludf.dummyfunction("IF(D34,filter(Productos!AC:AC,Productos!A:A=B34),)"),"fabrica")</f>
        <v>fabrica</v>
      </c>
      <c r="I34" s="0" t="str">
        <f aca="false">IFERROR(__xludf.dummyfunction("""COMPUTED_VALUE"""),"")</f>
        <v/>
      </c>
      <c r="K34" s="0" t="e">
        <f aca="false">IF(D34,"{""sku"":"""&amp;B34&amp;""", ""costo"":"&amp;C34&amp;", ""grupo"":"""&amp;A34&amp;""", ""lote"":"&amp;D34&amp;", ""tiempo"":"&amp;E34&amp;", "&amp;F34&amp;", ""vencimiento"":"&amp;G34&amp;IF(I34,", ""precio"":"&amp;I34,)&amp;", ""tipo"":"""&amp;H34&amp;"""},",)</f>
        <v>#VALUE!</v>
      </c>
    </row>
    <row r="35" customFormat="false" ht="15.75" hidden="false" customHeight="true" outlineLevel="0" collapsed="false">
      <c r="A35" s="16" t="n">
        <v>1</v>
      </c>
      <c r="B35" s="0" t="n">
        <f aca="false">IFERROR(__xludf.dummyfunction("""COMPUTED_VALUE"""),1301)</f>
        <v>1301</v>
      </c>
      <c r="C35" s="24" t="n">
        <f aca="false">IFERROR(__xludf.dummyfunction("""COMPUTED_VALUE"""),10)</f>
        <v>10</v>
      </c>
      <c r="D35" s="0" t="n">
        <f aca="false">IFERROR(__xludf.dummyfunction("""COMPUTED_VALUE"""),5)</f>
        <v>5</v>
      </c>
      <c r="E35" s="0" t="n">
        <f aca="false">IFERROR(__xludf.dummyfunction("""COMPUTED_VALUE"""),10)</f>
        <v>10</v>
      </c>
      <c r="F35" s="0" t="str">
        <f aca="false">IFERROR(__xludf.dummyfunction("filter(Formulas!C:C,Formulas!A:A=B35)"),"""formula"":[{""sku"":""1101"",""req"":1}]")</f>
        <v>"formula":[{"sku":"1101","req":1}]</v>
      </c>
      <c r="G35" s="21" t="n">
        <f aca="false">IFERROR(__xludf.dummyfunction("""COMPUTED_VALUE"""),2)</f>
        <v>2</v>
      </c>
      <c r="H35" s="21" t="str">
        <f aca="false">IFERROR(__xludf.dummyfunction("IF(D35,filter(Productos!AC:AC,Productos!A:A=B35),)"),"fabrica")</f>
        <v>fabrica</v>
      </c>
      <c r="I35" s="24" t="str">
        <f aca="false">IFERROR(__xludf.dummyfunction("""COMPUTED_VALUE"""),"")</f>
        <v/>
      </c>
      <c r="K35" s="0" t="e">
        <f aca="false">IF(D35,"{""sku"":"""&amp;B35&amp;""", ""costo"":"&amp;C35&amp;", ""grupo"":"""&amp;A35&amp;""", ""lote"":"&amp;D35&amp;", ""tiempo"":"&amp;E35&amp;", "&amp;F35&amp;", ""vencimiento"":"&amp;G35&amp;IF(I35,", ""precio"":"&amp;I35,)&amp;", ""tipo"":"""&amp;H35&amp;"""},",)</f>
        <v>#VALUE!</v>
      </c>
    </row>
    <row r="36" customFormat="false" ht="15.75" hidden="false" customHeight="true" outlineLevel="0" collapsed="false">
      <c r="A36" s="16" t="n">
        <v>1</v>
      </c>
      <c r="B36" s="0" t="n">
        <f aca="false">IFERROR(__xludf.dummyfunction("""COMPUTED_VALUE"""),1307)</f>
        <v>1307</v>
      </c>
      <c r="C36" s="24" t="n">
        <f aca="false">IFERROR(__xludf.dummyfunction("""COMPUTED_VALUE"""),50)</f>
        <v>50</v>
      </c>
      <c r="D36" s="0" t="n">
        <f aca="false">IFERROR(__xludf.dummyfunction("""COMPUTED_VALUE"""),11)</f>
        <v>11</v>
      </c>
      <c r="E36" s="0" t="n">
        <f aca="false">IFERROR(__xludf.dummyfunction("""COMPUTED_VALUE"""),30)</f>
        <v>30</v>
      </c>
      <c r="F36" s="0" t="str">
        <f aca="false">IFERROR(__xludf.dummyfunction("filter(Formulas!C:C,Formulas!A:A=B36)"),"""formula"":[{""sku"":""1007"",""req"":1}]")</f>
        <v>"formula":[{"sku":"1007","req":1}]</v>
      </c>
      <c r="G36" s="21" t="n">
        <f aca="false">IFERROR(__xludf.dummyfunction("""COMPUTED_VALUE"""),1.2)</f>
        <v>1.2</v>
      </c>
      <c r="H36" s="21" t="str">
        <f aca="false">IFERROR(__xludf.dummyfunction("IF(D36,filter(Productos!AC:AC,Productos!A:A=B36),)"),"fabrica")</f>
        <v>fabrica</v>
      </c>
      <c r="I36" s="24" t="str">
        <f aca="false">IFERROR(__xludf.dummyfunction("""COMPUTED_VALUE"""),"")</f>
        <v/>
      </c>
      <c r="K36" s="0" t="e">
        <f aca="false">IF(D36,"{""sku"":"""&amp;B36&amp;""", ""costo"":"&amp;C36&amp;", ""grupo"":"""&amp;A36&amp;""", ""lote"":"&amp;D36&amp;", ""tiempo"":"&amp;E36&amp;", "&amp;F36&amp;", ""vencimiento"":"&amp;G36&amp;IF(I36,", ""precio"":"&amp;I36,)&amp;", ""tipo"":"""&amp;H36&amp;"""},",)</f>
        <v>#VALUE!</v>
      </c>
    </row>
    <row r="37" customFormat="false" ht="15.75" hidden="false" customHeight="true" outlineLevel="0" collapsed="false">
      <c r="A37" s="16" t="n">
        <v>1</v>
      </c>
      <c r="B37" s="0" t="n">
        <f aca="false">IFERROR(__xludf.dummyfunction("""COMPUTED_VALUE"""),1309)</f>
        <v>1309</v>
      </c>
      <c r="C37" s="24" t="n">
        <f aca="false">IFERROR(__xludf.dummyfunction("""COMPUTED_VALUE"""),50)</f>
        <v>50</v>
      </c>
      <c r="D37" s="0" t="n">
        <f aca="false">IFERROR(__xludf.dummyfunction("""COMPUTED_VALUE"""),11)</f>
        <v>11</v>
      </c>
      <c r="E37" s="0" t="n">
        <f aca="false">IFERROR(__xludf.dummyfunction("""COMPUTED_VALUE"""),50)</f>
        <v>50</v>
      </c>
      <c r="F37" s="0" t="str">
        <f aca="false">IFERROR(__xludf.dummyfunction("filter(Formulas!C:C,Formulas!A:A=B37)"),"""formula"":[{""sku"":""1009"",""req"":1}]")</f>
        <v>"formula":[{"sku":"1009","req":1}]</v>
      </c>
      <c r="G37" s="21" t="n">
        <f aca="false">IFERROR(__xludf.dummyfunction("""COMPUTED_VALUE"""),1.2)</f>
        <v>1.2</v>
      </c>
      <c r="H37" s="21" t="str">
        <f aca="false">IFERROR(__xludf.dummyfunction("IF(D37,filter(Productos!AC:AC,Productos!A:A=B37),)"),"fabrica")</f>
        <v>fabrica</v>
      </c>
      <c r="I37" s="24" t="str">
        <f aca="false">IFERROR(__xludf.dummyfunction("""COMPUTED_VALUE"""),"")</f>
        <v/>
      </c>
      <c r="K37" s="0" t="e">
        <f aca="false">IF(D37,"{""sku"":"""&amp;B37&amp;""", ""costo"":"&amp;C37&amp;", ""grupo"":"""&amp;A37&amp;""", ""lote"":"&amp;D37&amp;", ""tiempo"":"&amp;E37&amp;", "&amp;F37&amp;", ""vencimiento"":"&amp;G37&amp;IF(I37,", ""precio"":"&amp;I37,)&amp;", ""tipo"":"""&amp;H37&amp;"""},",)</f>
        <v>#VALUE!</v>
      </c>
    </row>
    <row r="38" customFormat="false" ht="15.75" hidden="false" customHeight="true" outlineLevel="0" collapsed="false">
      <c r="A38" s="16" t="n">
        <v>1</v>
      </c>
      <c r="B38" s="0" t="n">
        <f aca="false">IFERROR(__xludf.dummyfunction("""COMPUTED_VALUE"""),1310)</f>
        <v>1310</v>
      </c>
      <c r="C38" s="24" t="n">
        <f aca="false">IFERROR(__xludf.dummyfunction("""COMPUTED_VALUE"""),10)</f>
        <v>10</v>
      </c>
      <c r="D38" s="0" t="n">
        <f aca="false">IFERROR(__xludf.dummyfunction("""COMPUTED_VALUE"""),12)</f>
        <v>12</v>
      </c>
      <c r="E38" s="0" t="n">
        <f aca="false">IFERROR(__xludf.dummyfunction("""COMPUTED_VALUE"""),10)</f>
        <v>10</v>
      </c>
      <c r="F38" s="0" t="str">
        <f aca="false">IFERROR(__xludf.dummyfunction("filter(Formulas!C:C,Formulas!A:A=B38)"),"""formula"":[{""sku"":""1010"",""req"":1}]")</f>
        <v>"formula":[{"sku":"1010","req":1}]</v>
      </c>
      <c r="G38" s="21" t="n">
        <f aca="false">IFERROR(__xludf.dummyfunction("""COMPUTED_VALUE"""),2)</f>
        <v>2</v>
      </c>
      <c r="H38" s="21" t="str">
        <f aca="false">IFERROR(__xludf.dummyfunction("IF(D38,filter(Productos!AC:AC,Productos!A:A=B38),)"),"fabrica")</f>
        <v>fabrica</v>
      </c>
      <c r="I38" s="24" t="str">
        <f aca="false">IFERROR(__xludf.dummyfunction("""COMPUTED_VALUE"""),"")</f>
        <v/>
      </c>
      <c r="K38" s="0" t="e">
        <f aca="false">IF(D38,"{""sku"":"""&amp;B38&amp;""", ""costo"":"&amp;C38&amp;", ""grupo"":"""&amp;A38&amp;""", ""lote"":"&amp;D38&amp;", ""tiempo"":"&amp;E38&amp;", "&amp;F38&amp;", ""vencimiento"":"&amp;G38&amp;IF(I38,", ""precio"":"&amp;I38,)&amp;", ""tipo"":"""&amp;H38&amp;"""},",)</f>
        <v>#VALUE!</v>
      </c>
    </row>
    <row r="39" customFormat="false" ht="15.75" hidden="false" customHeight="true" outlineLevel="0" collapsed="false">
      <c r="A39" s="16" t="n">
        <v>1</v>
      </c>
      <c r="B39" s="0" t="n">
        <f aca="false">IFERROR(__xludf.dummyfunction("""COMPUTED_VALUE"""),1407)</f>
        <v>1407</v>
      </c>
      <c r="C39" s="24" t="n">
        <f aca="false">IFERROR(__xludf.dummyfunction("""COMPUTED_VALUE"""),10)</f>
        <v>10</v>
      </c>
      <c r="D39" s="0" t="n">
        <f aca="false">IFERROR(__xludf.dummyfunction("""COMPUTED_VALUE"""),14)</f>
        <v>14</v>
      </c>
      <c r="E39" s="0" t="n">
        <f aca="false">IFERROR(__xludf.dummyfunction("""COMPUTED_VALUE"""),30)</f>
        <v>30</v>
      </c>
      <c r="F39" s="0" t="str">
        <f aca="false">IFERROR(__xludf.dummyfunction("filter(Formulas!C:C,Formulas!A:A=B39)"),"""formula"":[{""sku"":""1007"",""req"":1}]")</f>
        <v>"formula":[{"sku":"1007","req":1}]</v>
      </c>
      <c r="G39" s="21" t="n">
        <f aca="false">IFERROR(__xludf.dummyfunction("""COMPUTED_VALUE"""),2)</f>
        <v>2</v>
      </c>
      <c r="H39" s="21" t="str">
        <f aca="false">IFERROR(__xludf.dummyfunction("IF(D39,filter(Productos!AC:AC,Productos!A:A=B39),)"),"fabrica")</f>
        <v>fabrica</v>
      </c>
      <c r="I39" s="24" t="str">
        <f aca="false">IFERROR(__xludf.dummyfunction("""COMPUTED_VALUE"""),"")</f>
        <v/>
      </c>
      <c r="K39" s="0" t="e">
        <f aca="false">IF(D39,"{""sku"":"""&amp;B39&amp;""", ""costo"":"&amp;C39&amp;", ""grupo"":"""&amp;A39&amp;""", ""lote"":"&amp;D39&amp;", ""tiempo"":"&amp;E39&amp;", "&amp;F39&amp;", ""vencimiento"":"&amp;G39&amp;IF(I39,", ""precio"":"&amp;I39,)&amp;", ""tipo"":"""&amp;H39&amp;"""},",)</f>
        <v>#VALUE!</v>
      </c>
    </row>
    <row r="40" customFormat="false" ht="15.75" hidden="false" customHeight="true" outlineLevel="0" collapsed="false">
      <c r="A40" s="16" t="n">
        <v>1</v>
      </c>
      <c r="B40" s="0" t="n">
        <f aca="false">IFERROR(__xludf.dummyfunction("""COMPUTED_VALUE"""),10001)</f>
        <v>10001</v>
      </c>
      <c r="C40" s="24" t="n">
        <f aca="false">IFERROR(__xludf.dummyfunction("""COMPUTED_VALUE"""),10)</f>
        <v>10</v>
      </c>
      <c r="D40" s="0" t="n">
        <f aca="false">IFERROR(__xludf.dummyfunction("""COMPUTED_VALUE"""),1)</f>
        <v>1</v>
      </c>
      <c r="E40" s="0" t="n">
        <f aca="false">IFERROR(__xludf.dummyfunction("""COMPUTED_VALUE"""),10)</f>
        <v>10</v>
      </c>
      <c r="F40" s="0" t="str">
        <f aca="false">IFERROR(__xludf.dummyfunction("filter(Formulas!C:C,Formulas!A:A=B40)"),"""formula"":[{""sku"":""1201"",""req"":1},{""sku"":""1105"",""req"":1},{""sku"":""1210"",""req"":1},{""sku"":""1211"",""req"":1},{""sku"":""1116"",""req"":1}]")</f>
        <v>"formula":[{"sku":"1201","req":1},{"sku":"1105","req":1},{"sku":"1210","req":1},{"sku":"1211","req":1},{"sku":"1116","req":1}]</v>
      </c>
      <c r="G40" s="21" t="n">
        <f aca="false">IFERROR(__xludf.dummyfunction("""COMPUTED_VALUE"""),1)</f>
        <v>1</v>
      </c>
      <c r="H40" s="21" t="str">
        <f aca="false">IFERROR(__xludf.dummyfunction("IF(D40,filter(Productos!AC:AC,Productos!A:A=B40),)"),"cocina")</f>
        <v>cocina</v>
      </c>
      <c r="I40" s="24" t="n">
        <f aca="false">IFERROR(__xludf.dummyfunction("""COMPUTED_VALUE"""),4500)</f>
        <v>4500</v>
      </c>
      <c r="K40" s="0" t="str">
        <f aca="false">IF(D40,"{""sku"":"""&amp;B40&amp;""", ""costo"":"&amp;C40&amp;", ""grupo"":"""&amp;A40&amp;""", ""lote"":"&amp;D40&amp;", ""tiempo"":"&amp;E40&amp;", "&amp;F40&amp;", ""vencimiento"":"&amp;G40&amp;IF(I40,", ""precio"":"&amp;I40,)&amp;", ""tipo"":"""&amp;H40&amp;"""},",)</f>
        <v>{"sku":"10001", "costo":10, "grupo":"1", "lote":1, "tiempo":10, "formula":[{"sku":"1201","req":1},{"sku":"1105","req":1},{"sku":"1210","req":1},{"sku":"1211","req":1},{"sku":"1116","req":1}], "vencimiento":1, "precio":4500, "tipo":"cocina"},</v>
      </c>
    </row>
    <row r="41" customFormat="false" ht="15.75" hidden="false" customHeight="true" outlineLevel="0" collapsed="false">
      <c r="A41" s="16" t="n">
        <v>1</v>
      </c>
      <c r="B41" s="0" t="n">
        <f aca="false">IFERROR(__xludf.dummyfunction("""COMPUTED_VALUE"""),10002)</f>
        <v>10002</v>
      </c>
      <c r="C41" s="24" t="n">
        <f aca="false">IFERROR(__xludf.dummyfunction("""COMPUTED_VALUE"""),10)</f>
        <v>10</v>
      </c>
      <c r="D41" s="0" t="n">
        <f aca="false">IFERROR(__xludf.dummyfunction("""COMPUTED_VALUE"""),1)</f>
        <v>1</v>
      </c>
      <c r="E41" s="0" t="n">
        <f aca="false">IFERROR(__xludf.dummyfunction("""COMPUTED_VALUE"""),20)</f>
        <v>20</v>
      </c>
      <c r="F41" s="0" t="str">
        <f aca="false">IFERROR(__xludf.dummyfunction("filter(Formulas!C:C,Formulas!A:A=B41)"),"""formula"":[{""sku"":""1201"",""req"":1},{""sku"":""1105"",""req"":1},{""sku"":""1013"",""req"":5},{""sku"":""1210"",""req"":1},{""sku"":""1116"",""req"":1}]")</f>
        <v>"formula":[{"sku":"1201","req":1},{"sku":"1105","req":1},{"sku":"1013","req":5},{"sku":"1210","req":1},{"sku":"1116","req":1}]</v>
      </c>
      <c r="G41" s="21" t="n">
        <f aca="false">IFERROR(__xludf.dummyfunction("""COMPUTED_VALUE"""),1)</f>
        <v>1</v>
      </c>
      <c r="H41" s="21" t="str">
        <f aca="false">IFERROR(__xludf.dummyfunction("IF(D41,filter(Productos!AC:AC,Productos!A:A=B41),)"),"cocina")</f>
        <v>cocina</v>
      </c>
      <c r="I41" s="24" t="n">
        <f aca="false">IFERROR(__xludf.dummyfunction("""COMPUTED_VALUE"""),4500)</f>
        <v>4500</v>
      </c>
      <c r="K41" s="0" t="str">
        <f aca="false">IF(D41,"{""sku"":"""&amp;B41&amp;""", ""costo"":"&amp;C41&amp;", ""grupo"":"""&amp;A41&amp;""", ""lote"":"&amp;D41&amp;", ""tiempo"":"&amp;E41&amp;", "&amp;F41&amp;", ""vencimiento"":"&amp;G41&amp;IF(I41,", ""precio"":"&amp;I41,)&amp;", ""tipo"":"""&amp;H41&amp;"""},",)</f>
        <v>{"sku":"10002", "costo":10, "grupo":"1", "lote":1, "tiempo":20, "formula":[{"sku":"1201","req":1},{"sku":"1105","req":1},{"sku":"1013","req":5},{"sku":"1210","req":1},{"sku":"1116","req":1}], "vencimiento":1, "precio":4500, "tipo":"cocina"},</v>
      </c>
    </row>
    <row r="42" customFormat="false" ht="15.75" hidden="false" customHeight="true" outlineLevel="0" collapsed="false">
      <c r="A42" s="16" t="n">
        <v>1</v>
      </c>
      <c r="B42" s="0" t="n">
        <f aca="false">IFERROR(__xludf.dummyfunction("""COMPUTED_VALUE"""),10003)</f>
        <v>10003</v>
      </c>
      <c r="C42" s="24" t="n">
        <f aca="false">IFERROR(__xludf.dummyfunction("""COMPUTED_VALUE"""),10)</f>
        <v>10</v>
      </c>
      <c r="D42" s="0" t="n">
        <f aca="false">IFERROR(__xludf.dummyfunction("""COMPUTED_VALUE"""),1)</f>
        <v>1</v>
      </c>
      <c r="E42" s="0" t="n">
        <f aca="false">IFERROR(__xludf.dummyfunction("""COMPUTED_VALUE"""),30)</f>
        <v>30</v>
      </c>
      <c r="F42" s="0" t="str">
        <f aca="false">IFERROR(__xludf.dummyfunction("filter(Formulas!C:C,Formulas!A:A=B42)"),"""formula"":[{""sku"":""1201"",""req"":1},{""sku"":""1105"",""req"":1},{""sku"":""1013"",""req"":5},{""sku"":""1210"",""req"":1},{""sku"":""1211"",""req"":1},{""sku"":""1116"",""req"":1}]")</f>
        <v>"formula":[{"sku":"1201","req":1},{"sku":"1105","req":1},{"sku":"1013","req":5},{"sku":"1210","req":1},{"sku":"1211","req":1},{"sku":"1116","req":1}]</v>
      </c>
      <c r="G42" s="21" t="n">
        <f aca="false">IFERROR(__xludf.dummyfunction("""COMPUTED_VALUE"""),1)</f>
        <v>1</v>
      </c>
      <c r="H42" s="21" t="str">
        <f aca="false">IFERROR(__xludf.dummyfunction("IF(D42,filter(Productos!AC:AC,Productos!A:A=B42),)"),"cocina")</f>
        <v>cocina</v>
      </c>
      <c r="I42" s="24" t="n">
        <f aca="false">IFERROR(__xludf.dummyfunction("""COMPUTED_VALUE"""),4700)</f>
        <v>4700</v>
      </c>
      <c r="K42" s="0" t="str">
        <f aca="false">IF(D42,"{""sku"":"""&amp;B42&amp;""", ""costo"":"&amp;C42&amp;", ""grupo"":"""&amp;A42&amp;""", ""lote"":"&amp;D42&amp;", ""tiempo"":"&amp;E42&amp;", "&amp;F42&amp;", ""vencimiento"":"&amp;G42&amp;IF(I42,", ""precio"":"&amp;I42,)&amp;", ""tipo"":"""&amp;H42&amp;"""},",)</f>
        <v>{"sku":"10003", "costo":10, "grupo":"1", "lote":1, "tiempo":30, "formula":[{"sku":"1201","req":1},{"sku":"1105","req":1},{"sku":"1013","req":5},{"sku":"1210","req":1},{"sku":"1211","req":1},{"sku":"1116","req":1}], "vencimiento":1, "precio":4700, "tipo":"cocina"},</v>
      </c>
    </row>
    <row r="43" customFormat="false" ht="15.75" hidden="false" customHeight="true" outlineLevel="0" collapsed="false">
      <c r="A43" s="16" t="n">
        <v>1</v>
      </c>
      <c r="B43" s="0" t="n">
        <f aca="false">IFERROR(__xludf.dummyfunction("""COMPUTED_VALUE"""),10004)</f>
        <v>10004</v>
      </c>
      <c r="C43" s="24" t="n">
        <f aca="false">IFERROR(__xludf.dummyfunction("""COMPUTED_VALUE"""),10)</f>
        <v>10</v>
      </c>
      <c r="D43" s="0" t="n">
        <f aca="false">IFERROR(__xludf.dummyfunction("""COMPUTED_VALUE"""),1)</f>
        <v>1</v>
      </c>
      <c r="E43" s="0" t="n">
        <f aca="false">IFERROR(__xludf.dummyfunction("""COMPUTED_VALUE"""),10)</f>
        <v>10</v>
      </c>
      <c r="F43" s="0" t="str">
        <f aca="false">IFERROR(__xludf.dummyfunction("filter(Formulas!C:C,Formulas!A:A=B43)"),"""formula"":[{""sku"":""1201"",""req"":1},{""sku"":""1106"",""req"":4},{""sku"":""1210"",""req"":1},{""sku"":""1211"",""req"":1},{""sku"":""1116"",""req"":1}]")</f>
        <v>"formula":[{"sku":"1201","req":1},{"sku":"1106","req":4},{"sku":"1210","req":1},{"sku":"1211","req":1},{"sku":"1116","req":1}]</v>
      </c>
      <c r="G43" s="21" t="n">
        <f aca="false">IFERROR(__xludf.dummyfunction("""COMPUTED_VALUE"""),1)</f>
        <v>1</v>
      </c>
      <c r="H43" s="21" t="str">
        <f aca="false">IFERROR(__xludf.dummyfunction("IF(D43,filter(Productos!AC:AC,Productos!A:A=B43),)"),"cocina")</f>
        <v>cocina</v>
      </c>
      <c r="I43" s="24" t="n">
        <f aca="false">IFERROR(__xludf.dummyfunction("""COMPUTED_VALUE"""),4700)</f>
        <v>4700</v>
      </c>
      <c r="K43" s="0" t="str">
        <f aca="false">IF(D43,"{""sku"":"""&amp;B43&amp;""", ""costo"":"&amp;C43&amp;", ""grupo"":"""&amp;A43&amp;""", ""lote"":"&amp;D43&amp;", ""tiempo"":"&amp;E43&amp;", "&amp;F43&amp;", ""vencimiento"":"&amp;G43&amp;IF(I43,", ""precio"":"&amp;I43,)&amp;", ""tipo"":"""&amp;H43&amp;"""},",)</f>
        <v>{"sku":"10004", "costo":10, "grupo":"1", "lote":1, "tiempo":10, "formula":[{"sku":"1201","req":1},{"sku":"1106","req":4},{"sku":"1210","req":1},{"sku":"1211","req":1},{"sku":"1116","req":1}], "vencimiento":1, "precio":4700, "tipo":"cocina"},</v>
      </c>
    </row>
    <row r="44" customFormat="false" ht="15.75" hidden="false" customHeight="true" outlineLevel="0" collapsed="false">
      <c r="A44" s="16" t="n">
        <v>1</v>
      </c>
      <c r="B44" s="0" t="n">
        <f aca="false">IFERROR(__xludf.dummyfunction("""COMPUTED_VALUE"""),10005)</f>
        <v>10005</v>
      </c>
      <c r="C44" s="24" t="n">
        <f aca="false">IFERROR(__xludf.dummyfunction("""COMPUTED_VALUE"""),10)</f>
        <v>10</v>
      </c>
      <c r="D44" s="0" t="n">
        <f aca="false">IFERROR(__xludf.dummyfunction("""COMPUTED_VALUE"""),1)</f>
        <v>1</v>
      </c>
      <c r="E44" s="0" t="n">
        <f aca="false">IFERROR(__xludf.dummyfunction("""COMPUTED_VALUE"""),20)</f>
        <v>20</v>
      </c>
      <c r="F44" s="0" t="str">
        <f aca="false">IFERROR(__xludf.dummyfunction("filter(Formulas!C:C,Formulas!A:A=B44)"),"""formula"":[{""sku"":""1201"",""req"":1},{""sku"":""1106"",""req"":4},{""sku"":""1013"",""req"":5},{""sku"":""1210"",""req"":1},{""sku"":""1116"",""req"":1}]")</f>
        <v>"formula":[{"sku":"1201","req":1},{"sku":"1106","req":4},{"sku":"1013","req":5},{"sku":"1210","req":1},{"sku":"1116","req":1}]</v>
      </c>
      <c r="G44" s="21" t="n">
        <f aca="false">IFERROR(__xludf.dummyfunction("""COMPUTED_VALUE"""),1)</f>
        <v>1</v>
      </c>
      <c r="H44" s="21" t="str">
        <f aca="false">IFERROR(__xludf.dummyfunction("IF(D44,filter(Productos!AC:AC,Productos!A:A=B44),)"),"cocina")</f>
        <v>cocina</v>
      </c>
      <c r="I44" s="24" t="n">
        <f aca="false">IFERROR(__xludf.dummyfunction("""COMPUTED_VALUE"""),4700)</f>
        <v>4700</v>
      </c>
      <c r="K44" s="0" t="str">
        <f aca="false">IF(D44,"{""sku"":"""&amp;B44&amp;""", ""costo"":"&amp;C44&amp;", ""grupo"":"""&amp;A44&amp;""", ""lote"":"&amp;D44&amp;", ""tiempo"":"&amp;E44&amp;", "&amp;F44&amp;", ""vencimiento"":"&amp;G44&amp;IF(I44,", ""precio"":"&amp;I44,)&amp;", ""tipo"":"""&amp;H44&amp;"""},",)</f>
        <v>{"sku":"10005", "costo":10, "grupo":"1", "lote":1, "tiempo":20, "formula":[{"sku":"1201","req":1},{"sku":"1106","req":4},{"sku":"1013","req":5},{"sku":"1210","req":1},{"sku":"1116","req":1}], "vencimiento":1, "precio":4700, "tipo":"cocina"},</v>
      </c>
    </row>
    <row r="45" customFormat="false" ht="13" hidden="false" customHeight="false" outlineLevel="0" collapsed="false">
      <c r="A45" s="16" t="n">
        <v>1</v>
      </c>
      <c r="B45" s="0" t="n">
        <f aca="false">IFERROR(__xludf.dummyfunction("""COMPUTED_VALUE"""),10006)</f>
        <v>10006</v>
      </c>
      <c r="C45" s="24" t="n">
        <f aca="false">IFERROR(__xludf.dummyfunction("""COMPUTED_VALUE"""),10)</f>
        <v>10</v>
      </c>
      <c r="D45" s="0" t="n">
        <f aca="false">IFERROR(__xludf.dummyfunction("""COMPUTED_VALUE"""),1)</f>
        <v>1</v>
      </c>
      <c r="E45" s="0" t="n">
        <f aca="false">IFERROR(__xludf.dummyfunction("""COMPUTED_VALUE"""),10)</f>
        <v>10</v>
      </c>
      <c r="F45" s="0" t="str">
        <f aca="false">IFERROR(__xludf.dummyfunction("filter(Formulas!C:C,Formulas!A:A=B45)"),"""formula"":[{""sku"":""1201"",""req"":1},{""sku"":""1210"",""req"":1},{""sku"":""1107"",""req"":1},{""sku"":""1211"",""req"":1},{""sku"":""1116"",""req"":1}]")</f>
        <v>"formula":[{"sku":"1201","req":1},{"sku":"1210","req":1},{"sku":"1107","req":1},{"sku":"1211","req":1},{"sku":"1116","req":1}]</v>
      </c>
      <c r="G45" s="21" t="n">
        <f aca="false">IFERROR(__xludf.dummyfunction("""COMPUTED_VALUE"""),1)</f>
        <v>1</v>
      </c>
      <c r="H45" s="21" t="str">
        <f aca="false">IFERROR(__xludf.dummyfunction("IF(D45,filter(Productos!AC:AC,Productos!A:A=B45),)"),"cocina")</f>
        <v>cocina</v>
      </c>
      <c r="I45" s="24" t="n">
        <f aca="false">IFERROR(__xludf.dummyfunction("""COMPUTED_VALUE"""),4900)</f>
        <v>4900</v>
      </c>
      <c r="K45" s="0" t="str">
        <f aca="false">IF(D45,"{""sku"":"""&amp;B45&amp;""", ""costo"":"&amp;C45&amp;", ""grupo"":"""&amp;A45&amp;""", ""lote"":"&amp;D45&amp;", ""tiempo"":"&amp;E45&amp;", "&amp;F45&amp;", ""vencimiento"":"&amp;G45&amp;IF(I45,", ""precio"":"&amp;I45,)&amp;", ""tipo"":"""&amp;H45&amp;"""},",)</f>
        <v>{"sku":"10006", "costo":10, "grupo":"1", "lote":1, "tiempo":10, "formula":[{"sku":"1201","req":1},{"sku":"1210","req":1},{"sku":"1107","req":1},{"sku":"1211","req":1},{"sku":"1116","req":1}], "vencimiento":1, "precio":4900, "tipo":"cocina"},</v>
      </c>
    </row>
    <row r="46" customFormat="false" ht="13" hidden="false" customHeight="false" outlineLevel="0" collapsed="false">
      <c r="A46" s="16" t="n">
        <v>1</v>
      </c>
      <c r="B46" s="0" t="n">
        <f aca="false">IFERROR(__xludf.dummyfunction("""COMPUTED_VALUE"""),10007)</f>
        <v>10007</v>
      </c>
      <c r="C46" s="24" t="n">
        <f aca="false">IFERROR(__xludf.dummyfunction("""COMPUTED_VALUE"""),10)</f>
        <v>10</v>
      </c>
      <c r="D46" s="0" t="n">
        <f aca="false">IFERROR(__xludf.dummyfunction("""COMPUTED_VALUE"""),1)</f>
        <v>1</v>
      </c>
      <c r="E46" s="0" t="n">
        <f aca="false">IFERROR(__xludf.dummyfunction("""COMPUTED_VALUE"""),20)</f>
        <v>20</v>
      </c>
      <c r="F46" s="0" t="str">
        <f aca="false">IFERROR(__xludf.dummyfunction("filter(Formulas!C:C,Formulas!A:A=B46)"),"""formula"":[{""sku"":""1201"",""req"":1},{""sku"":""1013"",""req"":5},{""sku"":""1210"",""req"":1},{""sku"":""1107"",""req"":1},{""sku"":""1116"",""req"":1}]")</f>
        <v>"formula":[{"sku":"1201","req":1},{"sku":"1013","req":5},{"sku":"1210","req":1},{"sku":"1107","req":1},{"sku":"1116","req":1}]</v>
      </c>
      <c r="G46" s="21" t="n">
        <f aca="false">IFERROR(__xludf.dummyfunction("""COMPUTED_VALUE"""),1)</f>
        <v>1</v>
      </c>
      <c r="H46" s="21" t="str">
        <f aca="false">IFERROR(__xludf.dummyfunction("IF(D46,filter(Productos!AC:AC,Productos!A:A=B46),)"),"cocina")</f>
        <v>cocina</v>
      </c>
      <c r="I46" s="24" t="n">
        <f aca="false">IFERROR(__xludf.dummyfunction("""COMPUTED_VALUE"""),4900)</f>
        <v>4900</v>
      </c>
      <c r="K46" s="0" t="str">
        <f aca="false">IF(D46,"{""sku"":"""&amp;B46&amp;""", ""costo"":"&amp;C46&amp;", ""grupo"":"""&amp;A46&amp;""", ""lote"":"&amp;D46&amp;", ""tiempo"":"&amp;E46&amp;", "&amp;F46&amp;", ""vencimiento"":"&amp;G46&amp;IF(I46,", ""precio"":"&amp;I46,)&amp;", ""tipo"":"""&amp;H46&amp;"""},",)</f>
        <v>{"sku":"10007", "costo":10, "grupo":"1", "lote":1, "tiempo":20, "formula":[{"sku":"1201","req":1},{"sku":"1013","req":5},{"sku":"1210","req":1},{"sku":"1107","req":1},{"sku":"1116","req":1}], "vencimiento":1, "precio":4900, "tipo":"cocina"},</v>
      </c>
    </row>
    <row r="47" customFormat="false" ht="13" hidden="false" customHeight="false" outlineLevel="0" collapsed="false">
      <c r="A47" s="16" t="n">
        <v>1</v>
      </c>
      <c r="B47" s="0" t="n">
        <f aca="false">IFERROR(__xludf.dummyfunction("""COMPUTED_VALUE"""),10008)</f>
        <v>10008</v>
      </c>
      <c r="C47" s="24" t="n">
        <f aca="false">IFERROR(__xludf.dummyfunction("""COMPUTED_VALUE"""),10)</f>
        <v>10</v>
      </c>
      <c r="D47" s="0" t="n">
        <f aca="false">IFERROR(__xludf.dummyfunction("""COMPUTED_VALUE"""),1)</f>
        <v>1</v>
      </c>
      <c r="E47" s="0" t="n">
        <f aca="false">IFERROR(__xludf.dummyfunction("""COMPUTED_VALUE"""),20)</f>
        <v>20</v>
      </c>
      <c r="F47" s="0" t="str">
        <f aca="false">IFERROR(__xludf.dummyfunction("filter(Formulas!C:C,Formulas!A:A=B47)"),"""formula"":[{""sku"":""1201"",""req"":1},{""sku"":""1109"",""req"":1},{""sku"":""1210"",""req"":1},{""sku"":""1211"",""req"":1},{""sku"":""1116"",""req"":1}]")</f>
        <v>"formula":[{"sku":"1201","req":1},{"sku":"1109","req":1},{"sku":"1210","req":1},{"sku":"1211","req":1},{"sku":"1116","req":1}]</v>
      </c>
      <c r="G47" s="21" t="n">
        <f aca="false">IFERROR(__xludf.dummyfunction("""COMPUTED_VALUE"""),1)</f>
        <v>1</v>
      </c>
      <c r="H47" s="21" t="str">
        <f aca="false">IFERROR(__xludf.dummyfunction("IF(D47,filter(Productos!AC:AC,Productos!A:A=B47),)"),"cocina")</f>
        <v>cocina</v>
      </c>
      <c r="I47" s="24" t="n">
        <f aca="false">IFERROR(__xludf.dummyfunction("""COMPUTED_VALUE"""),4900)</f>
        <v>4900</v>
      </c>
      <c r="K47" s="0" t="str">
        <f aca="false">IF(D47,"{""sku"":"""&amp;B47&amp;""", ""costo"":"&amp;C47&amp;", ""grupo"":"""&amp;A47&amp;""", ""lote"":"&amp;D47&amp;", ""tiempo"":"&amp;E47&amp;", "&amp;F47&amp;", ""vencimiento"":"&amp;G47&amp;IF(I47,", ""precio"":"&amp;I47,)&amp;", ""tipo"":"""&amp;H47&amp;"""},",)</f>
        <v>{"sku":"10008", "costo":10, "grupo":"1", "lote":1, "tiempo":20, "formula":[{"sku":"1201","req":1},{"sku":"1109","req":1},{"sku":"1210","req":1},{"sku":"1211","req":1},{"sku":"1116","req":1}], "vencimiento":1, "precio":4900, "tipo":"cocina"},</v>
      </c>
    </row>
    <row r="48" customFormat="false" ht="13" hidden="false" customHeight="false" outlineLevel="0" collapsed="false">
      <c r="A48" s="16" t="n">
        <v>1</v>
      </c>
      <c r="B48" s="0" t="n">
        <f aca="false">IFERROR(__xludf.dummyfunction("""COMPUTED_VALUE"""),10009)</f>
        <v>10009</v>
      </c>
      <c r="C48" s="24" t="n">
        <f aca="false">IFERROR(__xludf.dummyfunction("""COMPUTED_VALUE"""),10)</f>
        <v>10</v>
      </c>
      <c r="D48" s="0" t="n">
        <f aca="false">IFERROR(__xludf.dummyfunction("""COMPUTED_VALUE"""),1)</f>
        <v>1</v>
      </c>
      <c r="E48" s="0" t="n">
        <f aca="false">IFERROR(__xludf.dummyfunction("""COMPUTED_VALUE"""),30)</f>
        <v>30</v>
      </c>
      <c r="F48" s="0" t="str">
        <f aca="false">IFERROR(__xludf.dummyfunction("filter(Formulas!C:C,Formulas!A:A=B48)"),"""formula"":[{""sku"":""1201"",""req"":1},{""sku"":""1109"",""req"":1},{""sku"":""1013"",""req"":5},{""sku"":""1210"",""req"":1},{""sku"":""1116"",""req"":1}]")</f>
        <v>"formula":[{"sku":"1201","req":1},{"sku":"1109","req":1},{"sku":"1013","req":5},{"sku":"1210","req":1},{"sku":"1116","req":1}]</v>
      </c>
      <c r="G48" s="21" t="n">
        <f aca="false">IFERROR(__xludf.dummyfunction("""COMPUTED_VALUE"""),1)</f>
        <v>1</v>
      </c>
      <c r="H48" s="21" t="str">
        <f aca="false">IFERROR(__xludf.dummyfunction("IF(D48,filter(Productos!AC:AC,Productos!A:A=B48),)"),"cocina")</f>
        <v>cocina</v>
      </c>
      <c r="I48" s="24" t="n">
        <f aca="false">IFERROR(__xludf.dummyfunction("""COMPUTED_VALUE"""),4900)</f>
        <v>4900</v>
      </c>
      <c r="K48" s="0" t="str">
        <f aca="false">IF(D48,"{""sku"":"""&amp;B48&amp;""", ""costo"":"&amp;C48&amp;", ""grupo"":"""&amp;A48&amp;""", ""lote"":"&amp;D48&amp;", ""tiempo"":"&amp;E48&amp;", "&amp;F48&amp;", ""vencimiento"":"&amp;G48&amp;IF(I48,", ""precio"":"&amp;I48,)&amp;", ""tipo"":"""&amp;H48&amp;"""},",)</f>
        <v>{"sku":"10009", "costo":10, "grupo":"1", "lote":1, "tiempo":30, "formula":[{"sku":"1201","req":1},{"sku":"1109","req":1},{"sku":"1013","req":5},{"sku":"1210","req":1},{"sku":"1116","req":1}], "vencimiento":1, "precio":4900, "tipo":"cocina"},</v>
      </c>
    </row>
    <row r="49" customFormat="false" ht="13" hidden="false" customHeight="false" outlineLevel="0" collapsed="false">
      <c r="A49" s="16" t="n">
        <v>1</v>
      </c>
      <c r="B49" s="0" t="n">
        <f aca="false">IFERROR(__xludf.dummyfunction("""COMPUTED_VALUE"""),10010)</f>
        <v>10010</v>
      </c>
      <c r="C49" s="24" t="n">
        <f aca="false">IFERROR(__xludf.dummyfunction("""COMPUTED_VALUE"""),10)</f>
        <v>10</v>
      </c>
      <c r="D49" s="0" t="n">
        <f aca="false">IFERROR(__xludf.dummyfunction("""COMPUTED_VALUE"""),1)</f>
        <v>1</v>
      </c>
      <c r="E49" s="0" t="n">
        <f aca="false">IFERROR(__xludf.dummyfunction("""COMPUTED_VALUE"""),10)</f>
        <v>10</v>
      </c>
      <c r="F49" s="0" t="str">
        <f aca="false">IFERROR(__xludf.dummyfunction("filter(Formulas!C:C,Formulas!A:A=B49)"),"""formula"":[{""sku"":""1201"",""req"":1},{""sku"":""1106"",""req"":4},{""sku"":""1210"",""req"":1},{""sku"":""1110"",""req"":1},{""sku"":""1116"",""req"":1}]")</f>
        <v>"formula":[{"sku":"1201","req":1},{"sku":"1106","req":4},{"sku":"1210","req":1},{"sku":"1110","req":1},{"sku":"1116","req":1}]</v>
      </c>
      <c r="G49" s="21" t="n">
        <f aca="false">IFERROR(__xludf.dummyfunction("""COMPUTED_VALUE"""),1)</f>
        <v>1</v>
      </c>
      <c r="H49" s="21" t="str">
        <f aca="false">IFERROR(__xludf.dummyfunction("IF(D49,filter(Productos!AC:AC,Productos!A:A=B49),)"),"cocina")</f>
        <v>cocina</v>
      </c>
      <c r="I49" s="24" t="n">
        <f aca="false">IFERROR(__xludf.dummyfunction("""COMPUTED_VALUE"""),4900)</f>
        <v>4900</v>
      </c>
      <c r="K49" s="0" t="str">
        <f aca="false">IF(D49,"{""sku"":"""&amp;B49&amp;""", ""costo"":"&amp;C49&amp;", ""grupo"":"""&amp;A49&amp;""", ""lote"":"&amp;D49&amp;", ""tiempo"":"&amp;E49&amp;", "&amp;F49&amp;", ""vencimiento"":"&amp;G49&amp;IF(I49,", ""precio"":"&amp;I49,)&amp;", ""tipo"":"""&amp;H49&amp;"""},",)</f>
        <v>{"sku":"10010", "costo":10, "grupo":"1", "lote":1, "tiempo":10, "formula":[{"sku":"1201","req":1},{"sku":"1106","req":4},{"sku":"1210","req":1},{"sku":"1110","req":1},{"sku":"1116","req":1}], "vencimiento":1, "precio":4900, "tipo":"cocina"},</v>
      </c>
    </row>
    <row r="50" customFormat="false" ht="13" hidden="false" customHeight="false" outlineLevel="0" collapsed="false">
      <c r="A50" s="16" t="n">
        <v>1</v>
      </c>
      <c r="B50" s="0" t="n">
        <f aca="false">IFERROR(__xludf.dummyfunction("""COMPUTED_VALUE"""),10011)</f>
        <v>10011</v>
      </c>
      <c r="C50" s="24" t="n">
        <f aca="false">IFERROR(__xludf.dummyfunction("""COMPUTED_VALUE"""),10)</f>
        <v>10</v>
      </c>
      <c r="D50" s="0" t="n">
        <f aca="false">IFERROR(__xludf.dummyfunction("""COMPUTED_VALUE"""),1)</f>
        <v>1</v>
      </c>
      <c r="E50" s="0" t="n">
        <f aca="false">IFERROR(__xludf.dummyfunction("""COMPUTED_VALUE"""),20)</f>
        <v>20</v>
      </c>
      <c r="F50" s="0" t="str">
        <f aca="false">IFERROR(__xludf.dummyfunction("filter(Formulas!C:C,Formulas!A:A=B50)"),"""formula"":[{""sku"":""1201"",""req"":1},{""sku"":""1106"",""req"":4},{""sku"":""1114"",""req"":1},{""sku"":""1110"",""req"":1},{""sku"":""1112"",""req"":1},{""sku"":""1116"",""req"":1}]")</f>
        <v>"formula":[{"sku":"1201","req":1},{"sku":"1106","req":4},{"sku":"1114","req":1},{"sku":"1110","req":1},{"sku":"1112","req":1},{"sku":"1116","req":1}]</v>
      </c>
      <c r="G50" s="21" t="n">
        <f aca="false">IFERROR(__xludf.dummyfunction("""COMPUTED_VALUE"""),1)</f>
        <v>1</v>
      </c>
      <c r="H50" s="21" t="str">
        <f aca="false">IFERROR(__xludf.dummyfunction("IF(D50,filter(Productos!AC:AC,Productos!A:A=B50),)"),"cocina")</f>
        <v>cocina</v>
      </c>
      <c r="I50" s="24" t="n">
        <f aca="false">IFERROR(__xludf.dummyfunction("""COMPUTED_VALUE"""),5700)</f>
        <v>5700</v>
      </c>
      <c r="K50" s="0" t="str">
        <f aca="false">IF(D50,"{""sku"":"""&amp;B50&amp;""", ""costo"":"&amp;C50&amp;", ""grupo"":"""&amp;A50&amp;""", ""lote"":"&amp;D50&amp;", ""tiempo"":"&amp;E50&amp;", "&amp;F50&amp;", ""vencimiento"":"&amp;G50&amp;IF(I50,", ""precio"":"&amp;I50,)&amp;", ""tipo"":"""&amp;H50&amp;"""},",)</f>
        <v>{"sku":"10011", "costo":10, "grupo":"1", "lote":1, "tiempo":20, "formula":[{"sku":"1201","req":1},{"sku":"1106","req":4},{"sku":"1114","req":1},{"sku":"1110","req":1},{"sku":"1112","req":1},{"sku":"1116","req":1}], "vencimiento":1, "precio":5700, "tipo":"cocina"},</v>
      </c>
    </row>
    <row r="51" customFormat="false" ht="13" hidden="false" customHeight="false" outlineLevel="0" collapsed="false">
      <c r="A51" s="16" t="n">
        <v>1</v>
      </c>
      <c r="B51" s="0" t="n">
        <f aca="false">IFERROR(__xludf.dummyfunction("""COMPUTED_VALUE"""),10012)</f>
        <v>10012</v>
      </c>
      <c r="C51" s="24" t="n">
        <f aca="false">IFERROR(__xludf.dummyfunction("""COMPUTED_VALUE"""),10)</f>
        <v>10</v>
      </c>
      <c r="D51" s="0" t="n">
        <f aca="false">IFERROR(__xludf.dummyfunction("""COMPUTED_VALUE"""),1)</f>
        <v>1</v>
      </c>
      <c r="E51" s="0" t="n">
        <f aca="false">IFERROR(__xludf.dummyfunction("""COMPUTED_VALUE"""),20)</f>
        <v>20</v>
      </c>
      <c r="F51" s="0" t="str">
        <f aca="false">IFERROR(__xludf.dummyfunction("filter(Formulas!C:C,Formulas!A:A=B51)"),"""formula"":[{""sku"":""1201"",""req"":1},{""sku"":""1106"",""req"":4},{""sku"":""1110"",""req"":1},{""sku"":""1112"",""req"":1},{""sku"":""1108"",""req"":1},{""sku"":""1116"",""req"":1}]")</f>
        <v>"formula":[{"sku":"1201","req":1},{"sku":"1106","req":4},{"sku":"1110","req":1},{"sku":"1112","req":1},{"sku":"1108","req":1},{"sku":"1116","req":1}]</v>
      </c>
      <c r="G51" s="21" t="n">
        <f aca="false">IFERROR(__xludf.dummyfunction("""COMPUTED_VALUE"""),1)</f>
        <v>1</v>
      </c>
      <c r="H51" s="21" t="str">
        <f aca="false">IFERROR(__xludf.dummyfunction("IF(D51,filter(Productos!AC:AC,Productos!A:A=B51),)"),"cocina")</f>
        <v>cocina</v>
      </c>
      <c r="I51" s="24" t="n">
        <f aca="false">IFERROR(__xludf.dummyfunction("""COMPUTED_VALUE"""),5700)</f>
        <v>5700</v>
      </c>
      <c r="K51" s="0" t="str">
        <f aca="false">IF(D51,"{""sku"":"""&amp;B51&amp;""", ""costo"":"&amp;C51&amp;", ""grupo"":"""&amp;A51&amp;""", ""lote"":"&amp;D51&amp;", ""tiempo"":"&amp;E51&amp;", "&amp;F51&amp;", ""vencimiento"":"&amp;G51&amp;IF(I51,", ""precio"":"&amp;I51,)&amp;", ""tipo"":"""&amp;H51&amp;"""},",)</f>
        <v>{"sku":"10012", "costo":10, "grupo":"1", "lote":1, "tiempo":20, "formula":[{"sku":"1201","req":1},{"sku":"1106","req":4},{"sku":"1110","req":1},{"sku":"1112","req":1},{"sku":"1108","req":1},{"sku":"1116","req":1}], "vencimiento":1, "precio":5700, "tipo":"cocina"},</v>
      </c>
    </row>
    <row r="52" customFormat="false" ht="13" hidden="false" customHeight="false" outlineLevel="0" collapsed="false">
      <c r="A52" s="16" t="n">
        <v>1</v>
      </c>
      <c r="B52" s="0" t="n">
        <f aca="false">IFERROR(__xludf.dummyfunction("""COMPUTED_VALUE"""),10013)</f>
        <v>10013</v>
      </c>
      <c r="C52" s="24" t="n">
        <f aca="false">IFERROR(__xludf.dummyfunction("""COMPUTED_VALUE"""),10)</f>
        <v>10</v>
      </c>
      <c r="D52" s="0" t="n">
        <f aca="false">IFERROR(__xludf.dummyfunction("""COMPUTED_VALUE"""),1)</f>
        <v>1</v>
      </c>
      <c r="E52" s="0" t="n">
        <f aca="false">IFERROR(__xludf.dummyfunction("""COMPUTED_VALUE"""),10)</f>
        <v>10</v>
      </c>
      <c r="F52" s="0" t="str">
        <f aca="false">IFERROR(__xludf.dummyfunction("filter(Formulas!C:C,Formulas!A:A=B52)"),"""formula"":[{""sku"":""1201"",""req"":1},{""sku"":""1106"",""req"":4},{""sku"":""1110"",""req"":1},{""sku"":""1112"",""req"":1},{""sku"":""1116"",""req"":1}]")</f>
        <v>"formula":[{"sku":"1201","req":1},{"sku":"1106","req":4},{"sku":"1110","req":1},{"sku":"1112","req":1},{"sku":"1116","req":1}]</v>
      </c>
      <c r="G52" s="21" t="n">
        <f aca="false">IFERROR(__xludf.dummyfunction("""COMPUTED_VALUE"""),1)</f>
        <v>1</v>
      </c>
      <c r="H52" s="21" t="str">
        <f aca="false">IFERROR(__xludf.dummyfunction("IF(D52,filter(Productos!AC:AC,Productos!A:A=B52),)"),"cocina")</f>
        <v>cocina</v>
      </c>
      <c r="I52" s="24" t="n">
        <f aca="false">IFERROR(__xludf.dummyfunction("""COMPUTED_VALUE"""),5700)</f>
        <v>5700</v>
      </c>
      <c r="K52" s="0" t="str">
        <f aca="false">IF(D52,"{""sku"":"""&amp;B52&amp;""", ""costo"":"&amp;C52&amp;", ""grupo"":"""&amp;A52&amp;""", ""lote"":"&amp;D52&amp;", ""tiempo"":"&amp;E52&amp;", "&amp;F52&amp;", ""vencimiento"":"&amp;G52&amp;IF(I52,", ""precio"":"&amp;I52,)&amp;", ""tipo"":"""&amp;H52&amp;"""},",)</f>
        <v>{"sku":"10013", "costo":10, "grupo":"1", "lote":1, "tiempo":10, "formula":[{"sku":"1201","req":1},{"sku":"1106","req":4},{"sku":"1110","req":1},{"sku":"1112","req":1},{"sku":"1116","req":1}], "vencimiento":1, "precio":5700, "tipo":"cocina"},</v>
      </c>
    </row>
    <row r="53" customFormat="false" ht="13" hidden="false" customHeight="false" outlineLevel="0" collapsed="false">
      <c r="A53" s="16" t="n">
        <v>1</v>
      </c>
      <c r="B53" s="0" t="n">
        <f aca="false">IFERROR(__xludf.dummyfunction("""COMPUTED_VALUE"""),10014)</f>
        <v>10014</v>
      </c>
      <c r="C53" s="24" t="n">
        <f aca="false">IFERROR(__xludf.dummyfunction("""COMPUTED_VALUE"""),10)</f>
        <v>10</v>
      </c>
      <c r="D53" s="0" t="n">
        <f aca="false">IFERROR(__xludf.dummyfunction("""COMPUTED_VALUE"""),1)</f>
        <v>1</v>
      </c>
      <c r="E53" s="0" t="n">
        <f aca="false">IFERROR(__xludf.dummyfunction("""COMPUTED_VALUE"""),10)</f>
        <v>10</v>
      </c>
      <c r="F53" s="0" t="str">
        <f aca="false">IFERROR(__xludf.dummyfunction("filter(Formulas!C:C,Formulas!A:A=B53)"),"""formula"":[{""sku"":""1201"",""req"":1},{""sku"":""1105"",""req"":1},{""sku"":""1110"",""req"":1},{""sku"":""1112"",""req"":1},{""sku"":""1116"",""req"":1}]")</f>
        <v>"formula":[{"sku":"1201","req":1},{"sku":"1105","req":1},{"sku":"1110","req":1},{"sku":"1112","req":1},{"sku":"1116","req":1}]</v>
      </c>
      <c r="G53" s="21" t="n">
        <f aca="false">IFERROR(__xludf.dummyfunction("""COMPUTED_VALUE"""),1)</f>
        <v>1</v>
      </c>
      <c r="H53" s="21" t="str">
        <f aca="false">IFERROR(__xludf.dummyfunction("IF(D53,filter(Productos!AC:AC,Productos!A:A=B53),)"),"cocina")</f>
        <v>cocina</v>
      </c>
      <c r="I53" s="24" t="n">
        <f aca="false">IFERROR(__xludf.dummyfunction("""COMPUTED_VALUE"""),4900)</f>
        <v>4900</v>
      </c>
      <c r="K53" s="0" t="str">
        <f aca="false">IF(D53,"{""sku"":"""&amp;B53&amp;""", ""costo"":"&amp;C53&amp;", ""grupo"":"""&amp;A53&amp;""", ""lote"":"&amp;D53&amp;", ""tiempo"":"&amp;E53&amp;", "&amp;F53&amp;", ""vencimiento"":"&amp;G53&amp;IF(I53,", ""precio"":"&amp;I53,)&amp;", ""tipo"":"""&amp;H53&amp;"""},",)</f>
        <v>{"sku":"10014", "costo":10, "grupo":"1", "lote":1, "tiempo":10, "formula":[{"sku":"1201","req":1},{"sku":"1105","req":1},{"sku":"1110","req":1},{"sku":"1112","req":1},{"sku":"1116","req":1}], "vencimiento":1, "precio":4900, "tipo":"cocina"},</v>
      </c>
    </row>
    <row r="54" customFormat="false" ht="13" hidden="false" customHeight="false" outlineLevel="0" collapsed="false">
      <c r="A54" s="16" t="n">
        <v>1</v>
      </c>
      <c r="B54" s="0" t="n">
        <f aca="false">IFERROR(__xludf.dummyfunction("""COMPUTED_VALUE"""),10015)</f>
        <v>10015</v>
      </c>
      <c r="C54" s="24" t="n">
        <f aca="false">IFERROR(__xludf.dummyfunction("""COMPUTED_VALUE"""),10)</f>
        <v>10</v>
      </c>
      <c r="D54" s="0" t="n">
        <f aca="false">IFERROR(__xludf.dummyfunction("""COMPUTED_VALUE"""),1)</f>
        <v>1</v>
      </c>
      <c r="E54" s="0" t="n">
        <f aca="false">IFERROR(__xludf.dummyfunction("""COMPUTED_VALUE"""),20)</f>
        <v>20</v>
      </c>
      <c r="F54" s="0" t="str">
        <f aca="false">IFERROR(__xludf.dummyfunction("filter(Formulas!C:C,Formulas!A:A=B54)"),"""formula"":[{""sku"":""1201"",""req"":1},{""sku"":""1109"",""req"":1},{""sku"":""1115"",""req"":1},{""sku"":""1110"",""req"":1},{""sku"":""1112"",""req"":1},{""sku"":""1116"",""req"":1}]")</f>
        <v>"formula":[{"sku":"1201","req":1},{"sku":"1109","req":1},{"sku":"1115","req":1},{"sku":"1110","req":1},{"sku":"1112","req":1},{"sku":"1116","req":1}]</v>
      </c>
      <c r="G54" s="21" t="n">
        <f aca="false">IFERROR(__xludf.dummyfunction("""COMPUTED_VALUE"""),1)</f>
        <v>1</v>
      </c>
      <c r="H54" s="21" t="str">
        <f aca="false">IFERROR(__xludf.dummyfunction("IF(D54,filter(Productos!AC:AC,Productos!A:A=B54),)"),"cocina")</f>
        <v>cocina</v>
      </c>
      <c r="I54" s="24" t="n">
        <f aca="false">IFERROR(__xludf.dummyfunction("""COMPUTED_VALUE"""),5700)</f>
        <v>5700</v>
      </c>
      <c r="K54" s="0" t="str">
        <f aca="false">IF(D54,"{""sku"":"""&amp;B54&amp;""", ""costo"":"&amp;C54&amp;", ""grupo"":"""&amp;A54&amp;""", ""lote"":"&amp;D54&amp;", ""tiempo"":"&amp;E54&amp;", "&amp;F54&amp;", ""vencimiento"":"&amp;G54&amp;IF(I54,", ""precio"":"&amp;I54,)&amp;", ""tipo"":"""&amp;H54&amp;"""},",)</f>
        <v>{"sku":"10015", "costo":10, "grupo":"1", "lote":1, "tiempo":20, "formula":[{"sku":"1201","req":1},{"sku":"1109","req":1},{"sku":"1115","req":1},{"sku":"1110","req":1},{"sku":"1112","req":1},{"sku":"1116","req":1}], "vencimiento":1, "precio":5700, "tipo":"cocina"},</v>
      </c>
    </row>
    <row r="55" customFormat="false" ht="13" hidden="false" customHeight="false" outlineLevel="0" collapsed="false">
      <c r="A55" s="16" t="n">
        <v>1</v>
      </c>
      <c r="B55" s="0" t="n">
        <f aca="false">IFERROR(__xludf.dummyfunction("""COMPUTED_VALUE"""),10016)</f>
        <v>10016</v>
      </c>
      <c r="C55" s="24" t="n">
        <f aca="false">IFERROR(__xludf.dummyfunction("""COMPUTED_VALUE"""),10)</f>
        <v>10</v>
      </c>
      <c r="D55" s="0" t="n">
        <f aca="false">IFERROR(__xludf.dummyfunction("""COMPUTED_VALUE"""),1)</f>
        <v>1</v>
      </c>
      <c r="E55" s="0" t="n">
        <f aca="false">IFERROR(__xludf.dummyfunction("""COMPUTED_VALUE"""),20)</f>
        <v>20</v>
      </c>
      <c r="F55" s="0" t="str">
        <f aca="false">IFERROR(__xludf.dummyfunction("filter(Formulas!C:C,Formulas!A:A=B55)"),"""formula"":[{""sku"":""1201"",""req"":1},{""sku"":""1106"",""req"":4},{""sku"":""1110"",""req"":1},{""sku"":""1112"",""req"":1},{""sku"":""1107"",""req"":1},{""sku"":""1116"",""req"":1}]")</f>
        <v>"formula":[{"sku":"1201","req":1},{"sku":"1106","req":4},{"sku":"1110","req":1},{"sku":"1112","req":1},{"sku":"1107","req":1},{"sku":"1116","req":1}]</v>
      </c>
      <c r="G55" s="21" t="n">
        <f aca="false">IFERROR(__xludf.dummyfunction("""COMPUTED_VALUE"""),1)</f>
        <v>1</v>
      </c>
      <c r="H55" s="21" t="str">
        <f aca="false">IFERROR(__xludf.dummyfunction("IF(D55,filter(Productos!AC:AC,Productos!A:A=B55),)"),"cocina")</f>
        <v>cocina</v>
      </c>
      <c r="I55" s="24" t="n">
        <f aca="false">IFERROR(__xludf.dummyfunction("""COMPUTED_VALUE"""),5700)</f>
        <v>5700</v>
      </c>
      <c r="K55" s="0" t="str">
        <f aca="false">IF(D55,"{""sku"":"""&amp;B55&amp;""", ""costo"":"&amp;C55&amp;", ""grupo"":"""&amp;A55&amp;""", ""lote"":"&amp;D55&amp;", ""tiempo"":"&amp;E55&amp;", "&amp;F55&amp;", ""vencimiento"":"&amp;G55&amp;IF(I55,", ""precio"":"&amp;I55,)&amp;", ""tipo"":"""&amp;H55&amp;"""},",)</f>
        <v>{"sku":"10016", "costo":10, "grupo":"1", "lote":1, "tiempo":20, "formula":[{"sku":"1201","req":1},{"sku":"1106","req":4},{"sku":"1110","req":1},{"sku":"1112","req":1},{"sku":"1107","req":1},{"sku":"1116","req":1}], "vencimiento":1, "precio":5700, "tipo":"cocina"},</v>
      </c>
    </row>
    <row r="56" customFormat="false" ht="13" hidden="false" customHeight="false" outlineLevel="0" collapsed="false">
      <c r="A56" s="16" t="n">
        <v>1</v>
      </c>
      <c r="B56" s="0" t="n">
        <f aca="false">IFERROR(__xludf.dummyfunction("""COMPUTED_VALUE"""),10017)</f>
        <v>10017</v>
      </c>
      <c r="C56" s="24" t="n">
        <f aca="false">IFERROR(__xludf.dummyfunction("""COMPUTED_VALUE"""),10)</f>
        <v>10</v>
      </c>
      <c r="D56" s="0" t="n">
        <f aca="false">IFERROR(__xludf.dummyfunction("""COMPUTED_VALUE"""),1)</f>
        <v>1</v>
      </c>
      <c r="E56" s="0" t="n">
        <f aca="false">IFERROR(__xludf.dummyfunction("""COMPUTED_VALUE"""),10)</f>
        <v>10</v>
      </c>
      <c r="F56" s="0" t="str">
        <f aca="false">IFERROR(__xludf.dummyfunction("filter(Formulas!C:C,Formulas!A:A=B56)"),"""formula"":[{""sku"":""1201"",""req"":1},{""sku"":""1110"",""req"":1},{""sku"":""1112"",""req"":1},{""sku"":""1107"",""req"":1},{""sku"":""1116"",""req"":1}]")</f>
        <v>"formula":[{"sku":"1201","req":1},{"sku":"1110","req":1},{"sku":"1112","req":1},{"sku":"1107","req":1},{"sku":"1116","req":1}]</v>
      </c>
      <c r="G56" s="21" t="n">
        <f aca="false">IFERROR(__xludf.dummyfunction("""COMPUTED_VALUE"""),1)</f>
        <v>1</v>
      </c>
      <c r="H56" s="21" t="str">
        <f aca="false">IFERROR(__xludf.dummyfunction("IF(D56,filter(Productos!AC:AC,Productos!A:A=B56),)"),"cocina")</f>
        <v>cocina</v>
      </c>
      <c r="I56" s="24" t="n">
        <f aca="false">IFERROR(__xludf.dummyfunction("""COMPUTED_VALUE"""),5700)</f>
        <v>5700</v>
      </c>
      <c r="K56" s="0" t="str">
        <f aca="false">IF(D56,"{""sku"":"""&amp;B56&amp;""", ""costo"":"&amp;C56&amp;", ""grupo"":"""&amp;A56&amp;""", ""lote"":"&amp;D56&amp;", ""tiempo"":"&amp;E56&amp;", "&amp;F56&amp;", ""vencimiento"":"&amp;G56&amp;IF(I56,", ""precio"":"&amp;I56,)&amp;", ""tipo"":"""&amp;H56&amp;"""},",)</f>
        <v>{"sku":"10017", "costo":10, "grupo":"1", "lote":1, "tiempo":10, "formula":[{"sku":"1201","req":1},{"sku":"1110","req":1},{"sku":"1112","req":1},{"sku":"1107","req":1},{"sku":"1116","req":1}], "vencimiento":1, "precio":5700, "tipo":"cocina"},</v>
      </c>
    </row>
    <row r="57" customFormat="false" ht="13" hidden="false" customHeight="false" outlineLevel="0" collapsed="false">
      <c r="A57" s="16" t="n">
        <v>1</v>
      </c>
      <c r="B57" s="0" t="n">
        <f aca="false">IFERROR(__xludf.dummyfunction("""COMPUTED_VALUE"""),10018)</f>
        <v>10018</v>
      </c>
      <c r="C57" s="24" t="n">
        <f aca="false">IFERROR(__xludf.dummyfunction("""COMPUTED_VALUE"""),10)</f>
        <v>10</v>
      </c>
      <c r="D57" s="0" t="n">
        <f aca="false">IFERROR(__xludf.dummyfunction("""COMPUTED_VALUE"""),1)</f>
        <v>1</v>
      </c>
      <c r="E57" s="0" t="n">
        <f aca="false">IFERROR(__xludf.dummyfunction("""COMPUTED_VALUE"""),10)</f>
        <v>10</v>
      </c>
      <c r="F57" s="0" t="str">
        <f aca="false">IFERROR(__xludf.dummyfunction("filter(Formulas!C:C,Formulas!A:A=B57)"),"""formula"":[{""sku"":""1201"",""req"":1},{""sku"":""1105"",""req"":1},{""sku"":""1112"",""req"":1},{""sku"":""1407"",""req"":1},{""sku"":""1116"",""req"":1}]")</f>
        <v>"formula":[{"sku":"1201","req":1},{"sku":"1105","req":1},{"sku":"1112","req":1},{"sku":"1407","req":1},{"sku":"1116","req":1}]</v>
      </c>
      <c r="G57" s="21" t="n">
        <f aca="false">IFERROR(__xludf.dummyfunction("""COMPUTED_VALUE"""),1)</f>
        <v>1</v>
      </c>
      <c r="H57" s="21" t="str">
        <f aca="false">IFERROR(__xludf.dummyfunction("IF(D57,filter(Productos!AC:AC,Productos!A:A=B57),)"),"cocina")</f>
        <v>cocina</v>
      </c>
      <c r="I57" s="24" t="n">
        <f aca="false">IFERROR(__xludf.dummyfunction("""COMPUTED_VALUE"""),5700)</f>
        <v>5700</v>
      </c>
      <c r="K57" s="0" t="str">
        <f aca="false">IF(D57,"{""sku"":"""&amp;B57&amp;""", ""costo"":"&amp;C57&amp;", ""grupo"":"""&amp;A57&amp;""", ""lote"":"&amp;D57&amp;", ""tiempo"":"&amp;E57&amp;", "&amp;F57&amp;", ""vencimiento"":"&amp;G57&amp;IF(I57,", ""precio"":"&amp;I57,)&amp;", ""tipo"":"""&amp;H57&amp;"""},",)</f>
        <v>{"sku":"10018", "costo":10, "grupo":"1", "lote":1, "tiempo":10, "formula":[{"sku":"1201","req":1},{"sku":"1105","req":1},{"sku":"1112","req":1},{"sku":"1407","req":1},{"sku":"1116","req":1}], "vencimiento":1, "precio":5700, "tipo":"cocina"},</v>
      </c>
    </row>
    <row r="58" customFormat="false" ht="13" hidden="false" customHeight="false" outlineLevel="0" collapsed="false">
      <c r="A58" s="16" t="n">
        <v>1</v>
      </c>
      <c r="B58" s="0" t="n">
        <f aca="false">IFERROR(__xludf.dummyfunction("""COMPUTED_VALUE"""),10019)</f>
        <v>10019</v>
      </c>
      <c r="C58" s="24" t="n">
        <f aca="false">IFERROR(__xludf.dummyfunction("""COMPUTED_VALUE"""),10)</f>
        <v>10</v>
      </c>
      <c r="D58" s="0" t="n">
        <f aca="false">IFERROR(__xludf.dummyfunction("""COMPUTED_VALUE"""),1)</f>
        <v>1</v>
      </c>
      <c r="E58" s="0" t="n">
        <f aca="false">IFERROR(__xludf.dummyfunction("""COMPUTED_VALUE"""),10)</f>
        <v>10</v>
      </c>
      <c r="F58" s="0" t="str">
        <f aca="false">IFERROR(__xludf.dummyfunction("filter(Formulas!C:C,Formulas!A:A=B58)"),"""formula"":[{""sku"":""1201"",""req"":1},{""sku"":""1106"",""req"":4},{""sku"":""1210"",""req"":1},{""sku"":""1116"",""req"":1},{""sku"":""1407"",""req"":1}]")</f>
        <v>"formula":[{"sku":"1201","req":1},{"sku":"1106","req":4},{"sku":"1210","req":1},{"sku":"1116","req":1},{"sku":"1407","req":1}]</v>
      </c>
      <c r="G58" s="21" t="n">
        <f aca="false">IFERROR(__xludf.dummyfunction("""COMPUTED_VALUE"""),1)</f>
        <v>1</v>
      </c>
      <c r="H58" s="21" t="str">
        <f aca="false">IFERROR(__xludf.dummyfunction("IF(D58,filter(Productos!AC:AC,Productos!A:A=B58),)"),"cocina")</f>
        <v>cocina</v>
      </c>
      <c r="I58" s="24" t="n">
        <f aca="false">IFERROR(__xludf.dummyfunction("""COMPUTED_VALUE"""),5700)</f>
        <v>5700</v>
      </c>
      <c r="K58" s="0" t="str">
        <f aca="false">IF(D58,"{""sku"":"""&amp;B58&amp;""", ""costo"":"&amp;C58&amp;", ""grupo"":"""&amp;A58&amp;""", ""lote"":"&amp;D58&amp;", ""tiempo"":"&amp;E58&amp;", "&amp;F58&amp;", ""vencimiento"":"&amp;G58&amp;IF(I58,", ""precio"":"&amp;I58,)&amp;", ""tipo"":"""&amp;H58&amp;"""},",)</f>
        <v>{"sku":"10019", "costo":10, "grupo":"1", "lote":1, "tiempo":10, "formula":[{"sku":"1201","req":1},{"sku":"1106","req":4},{"sku":"1210","req":1},{"sku":"1116","req":1},{"sku":"1407","req":1}], "vencimiento":1, "precio":5700, "tipo":"cocina"},</v>
      </c>
    </row>
    <row r="59" customFormat="false" ht="13" hidden="false" customHeight="false" outlineLevel="0" collapsed="false">
      <c r="A59" s="16" t="n">
        <v>1</v>
      </c>
      <c r="B59" s="0" t="n">
        <f aca="false">IFERROR(__xludf.dummyfunction("""COMPUTED_VALUE"""),10020)</f>
        <v>10020</v>
      </c>
      <c r="C59" s="24" t="n">
        <f aca="false">IFERROR(__xludf.dummyfunction("""COMPUTED_VALUE"""),10)</f>
        <v>10</v>
      </c>
      <c r="D59" s="0" t="n">
        <f aca="false">IFERROR(__xludf.dummyfunction("""COMPUTED_VALUE"""),1)</f>
        <v>1</v>
      </c>
      <c r="E59" s="0" t="n">
        <f aca="false">IFERROR(__xludf.dummyfunction("""COMPUTED_VALUE"""),20)</f>
        <v>20</v>
      </c>
      <c r="F59" s="0" t="str">
        <f aca="false">IFERROR(__xludf.dummyfunction("filter(Formulas!C:C,Formulas!A:A=B59)"),"""formula"":[{""sku"":""1201"",""req"":1},{""sku"":""1116"",""req"":1},{""sku"":""1106"",""req"":4},{""sku"":""1112"",""req"":1},{""sku"":""1114"",""req"":1},{""sku"":""1407"",""req"":1}]")</f>
        <v>"formula":[{"sku":"1201","req":1},{"sku":"1116","req":1},{"sku":"1106","req":4},{"sku":"1112","req":1},{"sku":"1114","req":1},{"sku":"1407","req":1}]</v>
      </c>
      <c r="G59" s="21" t="n">
        <f aca="false">IFERROR(__xludf.dummyfunction("""COMPUTED_VALUE"""),1)</f>
        <v>1</v>
      </c>
      <c r="H59" s="21" t="str">
        <f aca="false">IFERROR(__xludf.dummyfunction("IF(D59,filter(Productos!AC:AC,Productos!A:A=B59),)"),"cocina")</f>
        <v>cocina</v>
      </c>
      <c r="I59" s="24" t="n">
        <f aca="false">IFERROR(__xludf.dummyfunction("""COMPUTED_VALUE"""),5900)</f>
        <v>5900</v>
      </c>
      <c r="K59" s="0" t="str">
        <f aca="false">IF(D59,"{""sku"":"""&amp;B59&amp;""", ""costo"":"&amp;C59&amp;", ""grupo"":"""&amp;A59&amp;""", ""lote"":"&amp;D59&amp;", ""tiempo"":"&amp;E59&amp;", "&amp;F59&amp;", ""vencimiento"":"&amp;G59&amp;IF(I59,", ""precio"":"&amp;I59,)&amp;", ""tipo"":"""&amp;H59&amp;"""},",)</f>
        <v>{"sku":"10020", "costo":10, "grupo":"1", "lote":1, "tiempo":20, "formula":[{"sku":"1201","req":1},{"sku":"1116","req":1},{"sku":"1106","req":4},{"sku":"1112","req":1},{"sku":"1114","req":1},{"sku":"1407","req":1}], "vencimiento":1, "precio":5900, "tipo":"cocina"},</v>
      </c>
    </row>
    <row r="60" customFormat="false" ht="13" hidden="false" customHeight="false" outlineLevel="0" collapsed="false">
      <c r="A60" s="16" t="n">
        <v>1</v>
      </c>
      <c r="B60" s="0" t="n">
        <f aca="false">IFERROR(__xludf.dummyfunction("""COMPUTED_VALUE"""),10021)</f>
        <v>10021</v>
      </c>
      <c r="C60" s="24" t="n">
        <f aca="false">IFERROR(__xludf.dummyfunction("""COMPUTED_VALUE"""),10)</f>
        <v>10</v>
      </c>
      <c r="D60" s="0" t="n">
        <f aca="false">IFERROR(__xludf.dummyfunction("""COMPUTED_VALUE"""),1)</f>
        <v>1</v>
      </c>
      <c r="E60" s="0" t="n">
        <f aca="false">IFERROR(__xludf.dummyfunction("""COMPUTED_VALUE"""),10)</f>
        <v>10</v>
      </c>
      <c r="F60" s="0" t="str">
        <f aca="false">IFERROR(__xludf.dummyfunction("filter(Formulas!C:C,Formulas!A:A=B60)"),"""formula"":[{""sku"":""1201"",""req"":1},{""sku"":""1116"",""req"":1},{""sku"":""1109"",""req"":1},{""sku"":""1114"",""req"":1},{""sku"":""1407"",""req"":1}]")</f>
        <v>"formula":[{"sku":"1201","req":1},{"sku":"1116","req":1},{"sku":"1109","req":1},{"sku":"1114","req":1},{"sku":"1407","req":1}]</v>
      </c>
      <c r="G60" s="21" t="n">
        <f aca="false">IFERROR(__xludf.dummyfunction("""COMPUTED_VALUE"""),1)</f>
        <v>1</v>
      </c>
      <c r="H60" s="21" t="str">
        <f aca="false">IFERROR(__xludf.dummyfunction("IF(D60,filter(Productos!AC:AC,Productos!A:A=B60),)"),"cocina")</f>
        <v>cocina</v>
      </c>
      <c r="I60" s="24" t="n">
        <f aca="false">IFERROR(__xludf.dummyfunction("""COMPUTED_VALUE"""),5900)</f>
        <v>5900</v>
      </c>
      <c r="K60" s="0" t="str">
        <f aca="false">IF(D60,"{""sku"":"""&amp;B60&amp;""", ""costo"":"&amp;C60&amp;", ""grupo"":"""&amp;A60&amp;""", ""lote"":"&amp;D60&amp;", ""tiempo"":"&amp;E60&amp;", "&amp;F60&amp;", ""vencimiento"":"&amp;G60&amp;IF(I60,", ""precio"":"&amp;I60,)&amp;", ""tipo"":"""&amp;H60&amp;"""},",)</f>
        <v>{"sku":"10021", "costo":10, "grupo":"1", "lote":1, "tiempo":10, "formula":[{"sku":"1201","req":1},{"sku":"1116","req":1},{"sku":"1109","req":1},{"sku":"1114","req":1},{"sku":"1407","req":1}], "vencimiento":1, "precio":5900, "tipo":"cocina"},</v>
      </c>
    </row>
    <row r="61" customFormat="false" ht="13" hidden="false" customHeight="false" outlineLevel="0" collapsed="false">
      <c r="A61" s="16" t="n">
        <v>1</v>
      </c>
      <c r="B61" s="0" t="n">
        <f aca="false">IFERROR(__xludf.dummyfunction("""COMPUTED_VALUE"""),10022)</f>
        <v>10022</v>
      </c>
      <c r="C61" s="24" t="n">
        <f aca="false">IFERROR(__xludf.dummyfunction("""COMPUTED_VALUE"""),10)</f>
        <v>10</v>
      </c>
      <c r="D61" s="0" t="n">
        <f aca="false">IFERROR(__xludf.dummyfunction("""COMPUTED_VALUE"""),1)</f>
        <v>1</v>
      </c>
      <c r="E61" s="0" t="n">
        <f aca="false">IFERROR(__xludf.dummyfunction("""COMPUTED_VALUE"""),20)</f>
        <v>20</v>
      </c>
      <c r="F61" s="0" t="str">
        <f aca="false">IFERROR(__xludf.dummyfunction("filter(Formulas!C:C,Formulas!A:A=B61)"),"""formula"":[{""sku"":""1201"",""req"":1},{""sku"":""1116"",""req"":1},{""sku"":""1107"",""req"":1},{""sku"":""1112"",""req"":1},{""sku"":""1210"",""req"":1},{""sku"":""1215"",""req"":1}]")</f>
        <v>"formula":[{"sku":"1201","req":1},{"sku":"1116","req":1},{"sku":"1107","req":1},{"sku":"1112","req":1},{"sku":"1210","req":1},{"sku":"1215","req":1}]</v>
      </c>
      <c r="G61" s="21" t="n">
        <f aca="false">IFERROR(__xludf.dummyfunction("""COMPUTED_VALUE"""),1)</f>
        <v>1</v>
      </c>
      <c r="H61" s="21" t="str">
        <f aca="false">IFERROR(__xludf.dummyfunction("IF(D61,filter(Productos!AC:AC,Productos!A:A=B61),)"),"cocina")</f>
        <v>cocina</v>
      </c>
      <c r="I61" s="24" t="n">
        <f aca="false">IFERROR(__xludf.dummyfunction("""COMPUTED_VALUE"""),5500)</f>
        <v>5500</v>
      </c>
      <c r="K61" s="0" t="str">
        <f aca="false">IF(D61,"{""sku"":"""&amp;B61&amp;""", ""costo"":"&amp;C61&amp;", ""grupo"":"""&amp;A61&amp;""", ""lote"":"&amp;D61&amp;", ""tiempo"":"&amp;E61&amp;", "&amp;F61&amp;", ""vencimiento"":"&amp;G61&amp;IF(I61,", ""precio"":"&amp;I61,)&amp;", ""tipo"":"""&amp;H61&amp;"""},",)</f>
        <v>{"sku":"10022", "costo":10, "grupo":"1", "lote":1, "tiempo":20, "formula":[{"sku":"1201","req":1},{"sku":"1116","req":1},{"sku":"1107","req":1},{"sku":"1112","req":1},{"sku":"1210","req":1},{"sku":"1215","req":1}], "vencimiento":1, "precio":5500, "tipo":"cocina"},</v>
      </c>
    </row>
    <row r="62" customFormat="false" ht="13" hidden="false" customHeight="false" outlineLevel="0" collapsed="false">
      <c r="A62" s="16" t="n">
        <v>1</v>
      </c>
      <c r="B62" s="0" t="n">
        <f aca="false">IFERROR(__xludf.dummyfunction("""COMPUTED_VALUE"""),10023)</f>
        <v>10023</v>
      </c>
      <c r="C62" s="24" t="n">
        <f aca="false">IFERROR(__xludf.dummyfunction("""COMPUTED_VALUE"""),10)</f>
        <v>10</v>
      </c>
      <c r="D62" s="0" t="n">
        <f aca="false">IFERROR(__xludf.dummyfunction("""COMPUTED_VALUE"""),1)</f>
        <v>1</v>
      </c>
      <c r="E62" s="0" t="n">
        <f aca="false">IFERROR(__xludf.dummyfunction("""COMPUTED_VALUE"""),20)</f>
        <v>20</v>
      </c>
      <c r="F62" s="0" t="str">
        <f aca="false">IFERROR(__xludf.dummyfunction("filter(Formulas!C:C,Formulas!A:A=B62)"),"""formula"":[{""sku"":""1201"",""req"":1},{""sku"":""1116"",""req"":1},{""sku"":""1109"",""req"":1},{""sku"":""1112"",""req"":1},{""sku"":""1210"",""req"":1},{""sku"":""1215"",""req"":1}]")</f>
        <v>"formula":[{"sku":"1201","req":1},{"sku":"1116","req":1},{"sku":"1109","req":1},{"sku":"1112","req":1},{"sku":"1210","req":1},{"sku":"1215","req":1}]</v>
      </c>
      <c r="G62" s="21" t="n">
        <f aca="false">IFERROR(__xludf.dummyfunction("""COMPUTED_VALUE"""),1)</f>
        <v>1</v>
      </c>
      <c r="H62" s="21" t="str">
        <f aca="false">IFERROR(__xludf.dummyfunction("IF(D62,filter(Productos!AC:AC,Productos!A:A=B62),)"),"cocina")</f>
        <v>cocina</v>
      </c>
      <c r="I62" s="24" t="n">
        <f aca="false">IFERROR(__xludf.dummyfunction("""COMPUTED_VALUE"""),5500)</f>
        <v>5500</v>
      </c>
      <c r="K62" s="0" t="str">
        <f aca="false">IF(D62,"{""sku"":"""&amp;B62&amp;""", ""costo"":"&amp;C62&amp;", ""grupo"":"""&amp;A62&amp;""", ""lote"":"&amp;D62&amp;", ""tiempo"":"&amp;E62&amp;", "&amp;F62&amp;", ""vencimiento"":"&amp;G62&amp;IF(I62,", ""precio"":"&amp;I62,)&amp;", ""tipo"":"""&amp;H62&amp;"""},",)</f>
        <v>{"sku":"10023", "costo":10, "grupo":"1", "lote":1, "tiempo":20, "formula":[{"sku":"1201","req":1},{"sku":"1116","req":1},{"sku":"1109","req":1},{"sku":"1112","req":1},{"sku":"1210","req":1},{"sku":"1215","req":1}], "vencimiento":1, "precio":5500, "tipo":"cocina"},</v>
      </c>
    </row>
    <row r="63" customFormat="false" ht="13" hidden="false" customHeight="false" outlineLevel="0" collapsed="false">
      <c r="A63" s="16" t="n">
        <v>1</v>
      </c>
      <c r="B63" s="0" t="n">
        <f aca="false">IFERROR(__xludf.dummyfunction("""COMPUTED_VALUE"""),10024)</f>
        <v>10024</v>
      </c>
      <c r="C63" s="24" t="n">
        <f aca="false">IFERROR(__xludf.dummyfunction("""COMPUTED_VALUE"""),10)</f>
        <v>10</v>
      </c>
      <c r="D63" s="0" t="n">
        <f aca="false">IFERROR(__xludf.dummyfunction("""COMPUTED_VALUE"""),1)</f>
        <v>1</v>
      </c>
      <c r="E63" s="0" t="n">
        <f aca="false">IFERROR(__xludf.dummyfunction("""COMPUTED_VALUE"""),20)</f>
        <v>20</v>
      </c>
      <c r="F63" s="0" t="str">
        <f aca="false">IFERROR(__xludf.dummyfunction("filter(Formulas!C:C,Formulas!A:A=B63)"),"""formula"":[{""sku"":""1201"",""req"":1},{""sku"":""1116"",""req"":1},{""sku"":""1210"",""req"":1},{""sku"":""1114"",""req"":1},{""sku"":""1115"",""req"":1},{""sku"":""1211"",""req"":1}]")</f>
        <v>"formula":[{"sku":"1201","req":1},{"sku":"1116","req":1},{"sku":"1210","req":1},{"sku":"1114","req":1},{"sku":"1115","req":1},{"sku":"1211","req":1}]</v>
      </c>
      <c r="G63" s="21" t="n">
        <f aca="false">IFERROR(__xludf.dummyfunction("""COMPUTED_VALUE"""),1)</f>
        <v>1</v>
      </c>
      <c r="H63" s="21" t="str">
        <f aca="false">IFERROR(__xludf.dummyfunction("IF(D63,filter(Productos!AC:AC,Productos!A:A=B63),)"),"cocina")</f>
        <v>cocina</v>
      </c>
      <c r="I63" s="24" t="n">
        <f aca="false">IFERROR(__xludf.dummyfunction("""COMPUTED_VALUE"""),4900)</f>
        <v>4900</v>
      </c>
      <c r="K63" s="0" t="str">
        <f aca="false">IF(D63,"{""sku"":"""&amp;B63&amp;""", ""costo"":"&amp;C63&amp;", ""grupo"":"""&amp;A63&amp;""", ""lote"":"&amp;D63&amp;", ""tiempo"":"&amp;E63&amp;", "&amp;F63&amp;", ""vencimiento"":"&amp;G63&amp;IF(I63,", ""precio"":"&amp;I63,)&amp;", ""tipo"":"""&amp;H63&amp;"""},",)</f>
        <v>{"sku":"10024", "costo":10, "grupo":"1", "lote":1, "tiempo":20, "formula":[{"sku":"1201","req":1},{"sku":"1116","req":1},{"sku":"1210","req":1},{"sku":"1114","req":1},{"sku":"1115","req":1},{"sku":"1211","req":1}], "vencimiento":1, "precio":4900, "tipo":"cocina"},</v>
      </c>
    </row>
    <row r="64" customFormat="false" ht="13" hidden="false" customHeight="false" outlineLevel="0" collapsed="false">
      <c r="A64" s="16" t="n">
        <v>1</v>
      </c>
      <c r="B64" s="0" t="n">
        <f aca="false">IFERROR(__xludf.dummyfunction("""COMPUTED_VALUE"""),10025)</f>
        <v>10025</v>
      </c>
      <c r="C64" s="24" t="n">
        <f aca="false">IFERROR(__xludf.dummyfunction("""COMPUTED_VALUE"""),10)</f>
        <v>10</v>
      </c>
      <c r="D64" s="0" t="n">
        <f aca="false">IFERROR(__xludf.dummyfunction("""COMPUTED_VALUE"""),1)</f>
        <v>1</v>
      </c>
      <c r="E64" s="0" t="n">
        <f aca="false">IFERROR(__xludf.dummyfunction("""COMPUTED_VALUE"""),20)</f>
        <v>20</v>
      </c>
      <c r="F64" s="0" t="str">
        <f aca="false">IFERROR(__xludf.dummyfunction("filter(Formulas!C:C,Formulas!A:A=B64)"),"""formula"":[{""sku"":""1201"",""req"":1},{""sku"":""1116"",""req"":1},{""sku"":""1210"",""req"":1},{""sku"":""1114"",""req"":1},{""sku"":""1115"",""req"":1},{""sku"":""1013"",""req"":5}]")</f>
        <v>"formula":[{"sku":"1201","req":1},{"sku":"1116","req":1},{"sku":"1210","req":1},{"sku":"1114","req":1},{"sku":"1115","req":1},{"sku":"1013","req":5}]</v>
      </c>
      <c r="G64" s="21" t="n">
        <f aca="false">IFERROR(__xludf.dummyfunction("""COMPUTED_VALUE"""),1)</f>
        <v>1</v>
      </c>
      <c r="H64" s="21" t="str">
        <f aca="false">IFERROR(__xludf.dummyfunction("IF(D64,filter(Productos!AC:AC,Productos!A:A=B64),)"),"cocina")</f>
        <v>cocina</v>
      </c>
      <c r="I64" s="24" t="n">
        <f aca="false">IFERROR(__xludf.dummyfunction("""COMPUTED_VALUE"""),4900)</f>
        <v>4900</v>
      </c>
      <c r="K64" s="0" t="str">
        <f aca="false">IF(D64,"{""sku"":"""&amp;B64&amp;""", ""costo"":"&amp;C64&amp;", ""grupo"":"""&amp;A64&amp;""", ""lote"":"&amp;D64&amp;", ""tiempo"":"&amp;E64&amp;", "&amp;F64&amp;", ""vencimiento"":"&amp;G64&amp;IF(I64,", ""precio"":"&amp;I64,)&amp;", ""tipo"":"""&amp;H64&amp;"""},",)</f>
        <v>{"sku":"10025", "costo":10, "grupo":"1", "lote":1, "tiempo":20, "formula":[{"sku":"1201","req":1},{"sku":"1116","req":1},{"sku":"1210","req":1},{"sku":"1114","req":1},{"sku":"1115","req":1},{"sku":"1013","req":5}], "vencimiento":1, "precio":4900, "tipo":"cocina"},</v>
      </c>
    </row>
    <row r="65" customFormat="false" ht="13" hidden="false" customHeight="false" outlineLevel="0" collapsed="false">
      <c r="A65" s="16" t="n">
        <v>1</v>
      </c>
      <c r="B65" s="0" t="n">
        <f aca="false">IFERROR(__xludf.dummyfunction("""COMPUTED_VALUE"""),20001)</f>
        <v>20001</v>
      </c>
      <c r="C65" s="24" t="n">
        <f aca="false">IFERROR(__xludf.dummyfunction("""COMPUTED_VALUE"""),10)</f>
        <v>10</v>
      </c>
      <c r="D65" s="0" t="n">
        <f aca="false">IFERROR(__xludf.dummyfunction("""COMPUTED_VALUE"""),1)</f>
        <v>1</v>
      </c>
      <c r="E65" s="0" t="n">
        <f aca="false">IFERROR(__xludf.dummyfunction("""COMPUTED_VALUE"""),10)</f>
        <v>10</v>
      </c>
      <c r="F65" s="0" t="str">
        <f aca="false">IFERROR(__xludf.dummyfunction("filter(Formulas!C:C,Formulas!A:A=B65)"),"""formula"":[{""sku"":""1301"",""req"":1},{""sku"":""1207"",""req"":1},{""sku"":""1310"",""req"":1},{""sku"":""1112"",""req"":1},{""sku"":""1216"",""req"":1}]")</f>
        <v>"formula":[{"sku":"1301","req":1},{"sku":"1207","req":1},{"sku":"1310","req":1},{"sku":"1112","req":1},{"sku":"1216","req":1}]</v>
      </c>
      <c r="G65" s="21" t="n">
        <f aca="false">IFERROR(__xludf.dummyfunction("""COMPUTED_VALUE"""),1)</f>
        <v>1</v>
      </c>
      <c r="H65" s="21" t="str">
        <f aca="false">IFERROR(__xludf.dummyfunction("IF(D65,filter(Productos!AC:AC,Productos!A:A=B65),)"),"cocina")</f>
        <v>cocina</v>
      </c>
      <c r="I65" s="24" t="n">
        <f aca="false">IFERROR(__xludf.dummyfunction("""COMPUTED_VALUE"""),2700)</f>
        <v>2700</v>
      </c>
      <c r="K65" s="0" t="str">
        <f aca="false">IF(D65,"{""sku"":"""&amp;B65&amp;""", ""costo"":"&amp;C65&amp;", ""grupo"":"""&amp;A65&amp;""", ""lote"":"&amp;D65&amp;", ""tiempo"":"&amp;E65&amp;", "&amp;F65&amp;", ""vencimiento"":"&amp;G65&amp;IF(I65,", ""precio"":"&amp;I65,)&amp;", ""tipo"":"""&amp;H65&amp;"""},",)</f>
        <v>{"sku":"20001", "costo":10, "grupo":"1", "lote":1, "tiempo":10, "formula":[{"sku":"1301","req":1},{"sku":"1207","req":1},{"sku":"1310","req":1},{"sku":"1112","req":1},{"sku":"1216","req":1}], "vencimiento":1, "precio":2700, "tipo":"cocina"},</v>
      </c>
    </row>
    <row r="66" customFormat="false" ht="13" hidden="false" customHeight="false" outlineLevel="0" collapsed="false">
      <c r="A66" s="16" t="n">
        <v>1</v>
      </c>
      <c r="B66" s="0" t="n">
        <f aca="false">IFERROR(__xludf.dummyfunction("""COMPUTED_VALUE"""),20002)</f>
        <v>20002</v>
      </c>
      <c r="C66" s="24" t="n">
        <f aca="false">IFERROR(__xludf.dummyfunction("""COMPUTED_VALUE"""),10)</f>
        <v>10</v>
      </c>
      <c r="D66" s="0" t="n">
        <f aca="false">IFERROR(__xludf.dummyfunction("""COMPUTED_VALUE"""),1)</f>
        <v>1</v>
      </c>
      <c r="E66" s="0" t="n">
        <f aca="false">IFERROR(__xludf.dummyfunction("""COMPUTED_VALUE"""),10)</f>
        <v>10</v>
      </c>
      <c r="F66" s="0" t="str">
        <f aca="false">IFERROR(__xludf.dummyfunction("filter(Formulas!C:C,Formulas!A:A=B66)"),"""formula"":[{""sku"":""1301"",""req"":1},{""sku"":""1216"",""req"":1},{""sku"":""1106"",""req"":4}]")</f>
        <v>"formula":[{"sku":"1301","req":1},{"sku":"1216","req":1},{"sku":"1106","req":4}]</v>
      </c>
      <c r="G66" s="21" t="n">
        <f aca="false">IFERROR(__xludf.dummyfunction("""COMPUTED_VALUE"""),1)</f>
        <v>1</v>
      </c>
      <c r="H66" s="21" t="str">
        <f aca="false">IFERROR(__xludf.dummyfunction("IF(D66,filter(Productos!AC:AC,Productos!A:A=B66),)"),"cocina")</f>
        <v>cocina</v>
      </c>
      <c r="I66" s="24" t="n">
        <f aca="false">IFERROR(__xludf.dummyfunction("""COMPUTED_VALUE"""),2700)</f>
        <v>2700</v>
      </c>
      <c r="K66" s="0" t="str">
        <f aca="false">IF(D66,"{""sku"":"""&amp;B66&amp;""", ""costo"":"&amp;C66&amp;", ""grupo"":"""&amp;A66&amp;""", ""lote"":"&amp;D66&amp;", ""tiempo"":"&amp;E66&amp;", "&amp;F66&amp;", ""vencimiento"":"&amp;G66&amp;IF(I66,", ""precio"":"&amp;I66,)&amp;", ""tipo"":"""&amp;H66&amp;"""},",)</f>
        <v>{"sku":"20002", "costo":10, "grupo":"1", "lote":1, "tiempo":10, "formula":[{"sku":"1301","req":1},{"sku":"1216","req":1},{"sku":"1106","req":4}], "vencimiento":1, "precio":2700, "tipo":"cocina"},</v>
      </c>
    </row>
    <row r="67" customFormat="false" ht="13" hidden="false" customHeight="false" outlineLevel="0" collapsed="false">
      <c r="A67" s="16" t="n">
        <v>1</v>
      </c>
      <c r="B67" s="0" t="n">
        <f aca="false">IFERROR(__xludf.dummyfunction("""COMPUTED_VALUE"""),20003)</f>
        <v>20003</v>
      </c>
      <c r="C67" s="24" t="n">
        <f aca="false">IFERROR(__xludf.dummyfunction("""COMPUTED_VALUE"""),10)</f>
        <v>10</v>
      </c>
      <c r="D67" s="0" t="n">
        <f aca="false">IFERROR(__xludf.dummyfunction("""COMPUTED_VALUE"""),1)</f>
        <v>1</v>
      </c>
      <c r="E67" s="0" t="n">
        <f aca="false">IFERROR(__xludf.dummyfunction("""COMPUTED_VALUE"""),10)</f>
        <v>10</v>
      </c>
      <c r="F67" s="0" t="str">
        <f aca="false">IFERROR(__xludf.dummyfunction("filter(Formulas!C:C,Formulas!A:A=B67)"),"""formula"":[{""sku"":""1301"",""req"":1},{""sku"":""1216"",""req"":1},{""sku"":""1207"",""req"":1}]")</f>
        <v>"formula":[{"sku":"1301","req":1},{"sku":"1216","req":1},{"sku":"1207","req":1}]</v>
      </c>
      <c r="G67" s="21" t="n">
        <f aca="false">IFERROR(__xludf.dummyfunction("""COMPUTED_VALUE"""),1)</f>
        <v>1</v>
      </c>
      <c r="H67" s="21" t="str">
        <f aca="false">IFERROR(__xludf.dummyfunction("IF(D67,filter(Productos!AC:AC,Productos!A:A=B67),)"),"cocina")</f>
        <v>cocina</v>
      </c>
      <c r="I67" s="24" t="n">
        <f aca="false">IFERROR(__xludf.dummyfunction("""COMPUTED_VALUE"""),2700)</f>
        <v>2700</v>
      </c>
      <c r="K67" s="0" t="str">
        <f aca="false">IF(D67,"{""sku"":"""&amp;B67&amp;""", ""costo"":"&amp;C67&amp;", ""grupo"":"""&amp;A67&amp;""", ""lote"":"&amp;D67&amp;", ""tiempo"":"&amp;E67&amp;", "&amp;F67&amp;", ""vencimiento"":"&amp;G67&amp;IF(I67,", ""precio"":"&amp;I67,)&amp;", ""tipo"":"""&amp;H67&amp;"""},",)</f>
        <v>{"sku":"20003", "costo":10, "grupo":"1", "lote":1, "tiempo":10, "formula":[{"sku":"1301","req":1},{"sku":"1216","req":1},{"sku":"1207","req":1}], "vencimiento":1, "precio":2700, "tipo":"cocina"},</v>
      </c>
    </row>
    <row r="68" customFormat="false" ht="13" hidden="false" customHeight="false" outlineLevel="0" collapsed="false">
      <c r="A68" s="16" t="n">
        <v>1</v>
      </c>
      <c r="B68" s="0" t="n">
        <f aca="false">IFERROR(__xludf.dummyfunction("""COMPUTED_VALUE"""),20004)</f>
        <v>20004</v>
      </c>
      <c r="C68" s="24" t="n">
        <f aca="false">IFERROR(__xludf.dummyfunction("""COMPUTED_VALUE"""),10)</f>
        <v>10</v>
      </c>
      <c r="D68" s="0" t="n">
        <f aca="false">IFERROR(__xludf.dummyfunction("""COMPUTED_VALUE"""),1)</f>
        <v>1</v>
      </c>
      <c r="E68" s="0" t="n">
        <f aca="false">IFERROR(__xludf.dummyfunction("""COMPUTED_VALUE"""),10)</f>
        <v>10</v>
      </c>
      <c r="F68" s="0" t="str">
        <f aca="false">IFERROR(__xludf.dummyfunction("filter(Formulas!C:C,Formulas!A:A=B68)"),"""formula"":[{""sku"":""1301"",""req"":1},{""sku"":""1216"",""req"":1},{""sku"":""1209"",""req"":1}]")</f>
        <v>"formula":[{"sku":"1301","req":1},{"sku":"1216","req":1},{"sku":"1209","req":1}]</v>
      </c>
      <c r="G68" s="21" t="n">
        <f aca="false">IFERROR(__xludf.dummyfunction("""COMPUTED_VALUE"""),1)</f>
        <v>1</v>
      </c>
      <c r="H68" s="21" t="str">
        <f aca="false">IFERROR(__xludf.dummyfunction("IF(D68,filter(Productos!AC:AC,Productos!A:A=B68),)"),"cocina")</f>
        <v>cocina</v>
      </c>
      <c r="I68" s="24" t="n">
        <f aca="false">IFERROR(__xludf.dummyfunction("""COMPUTED_VALUE"""),2700)</f>
        <v>2700</v>
      </c>
      <c r="K68" s="0" t="str">
        <f aca="false">IF(D68,"{""sku"":"""&amp;B68&amp;""", ""costo"":"&amp;C68&amp;", ""grupo"":"""&amp;A68&amp;""", ""lote"":"&amp;D68&amp;", ""tiempo"":"&amp;E68&amp;", "&amp;F68&amp;", ""vencimiento"":"&amp;G68&amp;IF(I68,", ""precio"":"&amp;I68,)&amp;", ""tipo"":"""&amp;H68&amp;"""},",)</f>
        <v>{"sku":"20004", "costo":10, "grupo":"1", "lote":1, "tiempo":10, "formula":[{"sku":"1301","req":1},{"sku":"1216","req":1},{"sku":"1209","req":1}], "vencimiento":1, "precio":2700, "tipo":"cocina"},</v>
      </c>
    </row>
    <row r="69" customFormat="false" ht="13" hidden="false" customHeight="false" outlineLevel="0" collapsed="false">
      <c r="A69" s="16" t="n">
        <v>1</v>
      </c>
      <c r="B69" s="0" t="n">
        <f aca="false">IFERROR(__xludf.dummyfunction("""COMPUTED_VALUE"""),20005)</f>
        <v>20005</v>
      </c>
      <c r="C69" s="24" t="n">
        <f aca="false">IFERROR(__xludf.dummyfunction("""COMPUTED_VALUE"""),10)</f>
        <v>10</v>
      </c>
      <c r="D69" s="0" t="n">
        <f aca="false">IFERROR(__xludf.dummyfunction("""COMPUTED_VALUE"""),1)</f>
        <v>1</v>
      </c>
      <c r="E69" s="0" t="n">
        <f aca="false">IFERROR(__xludf.dummyfunction("""COMPUTED_VALUE"""),20)</f>
        <v>20</v>
      </c>
      <c r="F69" s="0" t="str">
        <f aca="false">IFERROR(__xludf.dummyfunction("filter(Formulas!C:C,Formulas!A:A=B69)"),"""formula"":[{""sku"":""1301"",""req"":1},{""sku"":""1216"",""req"":1},{""sku"":""1209"",""req"":1},{""sku"":""1310"",""req"":1},{""sku"":""1112"",""req"":1}]")</f>
        <v>"formula":[{"sku":"1301","req":1},{"sku":"1216","req":1},{"sku":"1209","req":1},{"sku":"1310","req":1},{"sku":"1112","req":1}]</v>
      </c>
      <c r="G69" s="21" t="n">
        <f aca="false">IFERROR(__xludf.dummyfunction("""COMPUTED_VALUE"""),1)</f>
        <v>1</v>
      </c>
      <c r="H69" s="21" t="str">
        <f aca="false">IFERROR(__xludf.dummyfunction("IF(D69,filter(Productos!AC:AC,Productos!A:A=B69),)"),"cocina")</f>
        <v>cocina</v>
      </c>
      <c r="I69" s="24" t="n">
        <f aca="false">IFERROR(__xludf.dummyfunction("""COMPUTED_VALUE"""),2700)</f>
        <v>2700</v>
      </c>
      <c r="K69" s="0" t="str">
        <f aca="false">IF(D69,"{""sku"":"""&amp;B69&amp;""", ""costo"":"&amp;C69&amp;", ""grupo"":"""&amp;A69&amp;""", ""lote"":"&amp;D69&amp;", ""tiempo"":"&amp;E69&amp;", "&amp;F69&amp;", ""vencimiento"":"&amp;G69&amp;IF(I69,", ""precio"":"&amp;I69,)&amp;", ""tipo"":"""&amp;H69&amp;"""},",)</f>
        <v>{"sku":"20005", "costo":10, "grupo":"1", "lote":1, "tiempo":20, "formula":[{"sku":"1301","req":1},{"sku":"1216","req":1},{"sku":"1209","req":1},{"sku":"1310","req":1},{"sku":"1112","req":1}], "vencimiento":1, "precio":2700, "tipo":"cocina"},</v>
      </c>
    </row>
    <row r="70" customFormat="false" ht="13" hidden="false" customHeight="false" outlineLevel="0" collapsed="false">
      <c r="A70" s="16" t="n">
        <v>1</v>
      </c>
      <c r="B70" s="0" t="n">
        <f aca="false">IFERROR(__xludf.dummyfunction("""COMPUTED_VALUE"""),30001)</f>
        <v>30001</v>
      </c>
      <c r="C70" s="24" t="n">
        <f aca="false">IFERROR(__xludf.dummyfunction("""COMPUTED_VALUE"""),10)</f>
        <v>10</v>
      </c>
      <c r="D70" s="0" t="n">
        <f aca="false">IFERROR(__xludf.dummyfunction("""COMPUTED_VALUE"""),1)</f>
        <v>1</v>
      </c>
      <c r="E70" s="0" t="n">
        <f aca="false">IFERROR(__xludf.dummyfunction("""COMPUTED_VALUE"""),10)</f>
        <v>10</v>
      </c>
      <c r="F70" s="0" t="str">
        <f aca="false">IFERROR(__xludf.dummyfunction("filter(Formulas!C:C,Formulas!A:A=B70)"),"""formula"":[{""sku"":""1307"",""req"":3}]")</f>
        <v>"formula":[{"sku":"1307","req":3}]</v>
      </c>
      <c r="G70" s="21" t="n">
        <f aca="false">IFERROR(__xludf.dummyfunction("""COMPUTED_VALUE"""),1)</f>
        <v>1</v>
      </c>
      <c r="H70" s="21" t="str">
        <f aca="false">IFERROR(__xludf.dummyfunction("IF(D70,filter(Productos!AC:AC,Productos!A:A=B70),)"),"cocina")</f>
        <v>cocina</v>
      </c>
      <c r="I70" s="24" t="n">
        <f aca="false">IFERROR(__xludf.dummyfunction("""COMPUTED_VALUE"""),7900)</f>
        <v>7900</v>
      </c>
      <c r="K70" s="0" t="str">
        <f aca="false">IF(D70,"{""sku"":"""&amp;B70&amp;""", ""costo"":"&amp;C70&amp;", ""grupo"":"""&amp;A70&amp;""", ""lote"":"&amp;D70&amp;", ""tiempo"":"&amp;E70&amp;", "&amp;F70&amp;", ""vencimiento"":"&amp;G70&amp;IF(I70,", ""precio"":"&amp;I70,)&amp;", ""tipo"":"""&amp;H70&amp;"""},",)</f>
        <v>{"sku":"30001", "costo":10, "grupo":"1", "lote":1, "tiempo":10, "formula":[{"sku":"1307","req":3}], "vencimiento":1, "precio":7900, "tipo":"cocina"},</v>
      </c>
    </row>
    <row r="71" customFormat="false" ht="13" hidden="false" customHeight="false" outlineLevel="0" collapsed="false">
      <c r="A71" s="16" t="n">
        <v>1</v>
      </c>
      <c r="B71" s="0" t="n">
        <f aca="false">IFERROR(__xludf.dummyfunction("""COMPUTED_VALUE"""),30002)</f>
        <v>30002</v>
      </c>
      <c r="C71" s="24" t="n">
        <f aca="false">IFERROR(__xludf.dummyfunction("""COMPUTED_VALUE"""),10)</f>
        <v>10</v>
      </c>
      <c r="D71" s="0" t="n">
        <f aca="false">IFERROR(__xludf.dummyfunction("""COMPUTED_VALUE"""),1)</f>
        <v>1</v>
      </c>
      <c r="E71" s="0" t="n">
        <f aca="false">IFERROR(__xludf.dummyfunction("""COMPUTED_VALUE"""),10)</f>
        <v>10</v>
      </c>
      <c r="F71" s="0" t="str">
        <f aca="false">IFERROR(__xludf.dummyfunction("filter(Formulas!C:C,Formulas!A:A=B71)"),"""formula"":[{""sku"":""1307"",""req"":4}]")</f>
        <v>"formula":[{"sku":"1307","req":4}]</v>
      </c>
      <c r="G71" s="21" t="n">
        <f aca="false">IFERROR(__xludf.dummyfunction("""COMPUTED_VALUE"""),1)</f>
        <v>1</v>
      </c>
      <c r="H71" s="21" t="str">
        <f aca="false">IFERROR(__xludf.dummyfunction("IF(D71,filter(Productos!AC:AC,Productos!A:A=B71),)"),"cocina")</f>
        <v>cocina</v>
      </c>
      <c r="I71" s="24" t="n">
        <f aca="false">IFERROR(__xludf.dummyfunction("""COMPUTED_VALUE"""),9900)</f>
        <v>9900</v>
      </c>
      <c r="K71" s="0" t="str">
        <f aca="false">IF(D71,"{""sku"":"""&amp;B71&amp;""", ""costo"":"&amp;C71&amp;", ""grupo"":"""&amp;A71&amp;""", ""lote"":"&amp;D71&amp;", ""tiempo"":"&amp;E71&amp;", "&amp;F71&amp;", ""vencimiento"":"&amp;G71&amp;IF(I71,", ""precio"":"&amp;I71,)&amp;", ""tipo"":"""&amp;H71&amp;"""},",)</f>
        <v>{"sku":"30002", "costo":10, "grupo":"1", "lote":1, "tiempo":10, "formula":[{"sku":"1307","req":4}], "vencimiento":1, "precio":9900, "tipo":"cocina"},</v>
      </c>
    </row>
    <row r="72" customFormat="false" ht="13" hidden="false" customHeight="false" outlineLevel="0" collapsed="false">
      <c r="A72" s="16" t="n">
        <v>1</v>
      </c>
      <c r="B72" s="0" t="n">
        <f aca="false">IFERROR(__xludf.dummyfunction("""COMPUTED_VALUE"""),30003)</f>
        <v>30003</v>
      </c>
      <c r="C72" s="24" t="n">
        <f aca="false">IFERROR(__xludf.dummyfunction("""COMPUTED_VALUE"""),10)</f>
        <v>10</v>
      </c>
      <c r="D72" s="0" t="n">
        <f aca="false">IFERROR(__xludf.dummyfunction("""COMPUTED_VALUE"""),1)</f>
        <v>1</v>
      </c>
      <c r="E72" s="0" t="n">
        <f aca="false">IFERROR(__xludf.dummyfunction("""COMPUTED_VALUE"""),10)</f>
        <v>10</v>
      </c>
      <c r="F72" s="0" t="str">
        <f aca="false">IFERROR(__xludf.dummyfunction("filter(Formulas!C:C,Formulas!A:A=B72)"),"""formula"":[{""sku"":""1307"",""req"":5}]")</f>
        <v>"formula":[{"sku":"1307","req":5}]</v>
      </c>
      <c r="G72" s="21" t="n">
        <f aca="false">IFERROR(__xludf.dummyfunction("""COMPUTED_VALUE"""),1)</f>
        <v>1</v>
      </c>
      <c r="H72" s="21" t="str">
        <f aca="false">IFERROR(__xludf.dummyfunction("IF(D72,filter(Productos!AC:AC,Productos!A:A=B72),)"),"cocina")</f>
        <v>cocina</v>
      </c>
      <c r="I72" s="24" t="n">
        <f aca="false">IFERROR(__xludf.dummyfunction("""COMPUTED_VALUE"""),12500)</f>
        <v>12500</v>
      </c>
      <c r="K72" s="0" t="str">
        <f aca="false">IF(D72,"{""sku"":"""&amp;B72&amp;""", ""costo"":"&amp;C72&amp;", ""grupo"":"""&amp;A72&amp;""", ""lote"":"&amp;D72&amp;", ""tiempo"":"&amp;E72&amp;", "&amp;F72&amp;", ""vencimiento"":"&amp;G72&amp;IF(I72,", ""precio"":"&amp;I72,)&amp;", ""tipo"":"""&amp;H72&amp;"""},",)</f>
        <v>{"sku":"30003", "costo":10, "grupo":"1", "lote":1, "tiempo":10, "formula":[{"sku":"1307","req":5}], "vencimiento":1, "precio":12500, "tipo":"cocina"},</v>
      </c>
    </row>
    <row r="73" customFormat="false" ht="13" hidden="false" customHeight="false" outlineLevel="0" collapsed="false">
      <c r="A73" s="16" t="n">
        <v>1</v>
      </c>
      <c r="B73" s="0" t="n">
        <f aca="false">IFERROR(__xludf.dummyfunction("""COMPUTED_VALUE"""),30004)</f>
        <v>30004</v>
      </c>
      <c r="C73" s="24" t="n">
        <f aca="false">IFERROR(__xludf.dummyfunction("""COMPUTED_VALUE"""),10)</f>
        <v>10</v>
      </c>
      <c r="D73" s="0" t="n">
        <f aca="false">IFERROR(__xludf.dummyfunction("""COMPUTED_VALUE"""),1)</f>
        <v>1</v>
      </c>
      <c r="E73" s="0" t="n">
        <f aca="false">IFERROR(__xludf.dummyfunction("""COMPUTED_VALUE"""),10)</f>
        <v>10</v>
      </c>
      <c r="F73" s="0" t="str">
        <f aca="false">IFERROR(__xludf.dummyfunction("filter(Formulas!C:C,Formulas!A:A=B73)"),"""formula"":[{""sku"":""1309"",""req"":3}]")</f>
        <v>"formula":[{"sku":"1309","req":3}]</v>
      </c>
      <c r="G73" s="21" t="n">
        <f aca="false">IFERROR(__xludf.dummyfunction("""COMPUTED_VALUE"""),1)</f>
        <v>1</v>
      </c>
      <c r="H73" s="21" t="str">
        <f aca="false">IFERROR(__xludf.dummyfunction("IF(D73,filter(Productos!AC:AC,Productos!A:A=B73),)"),"cocina")</f>
        <v>cocina</v>
      </c>
      <c r="I73" s="24" t="n">
        <f aca="false">IFERROR(__xludf.dummyfunction("""COMPUTED_VALUE"""),7900)</f>
        <v>7900</v>
      </c>
      <c r="K73" s="0" t="str">
        <f aca="false">IF(D73,"{""sku"":"""&amp;B73&amp;""", ""costo"":"&amp;C73&amp;", ""grupo"":"""&amp;A73&amp;""", ""lote"":"&amp;D73&amp;", ""tiempo"":"&amp;E73&amp;", "&amp;F73&amp;", ""vencimiento"":"&amp;G73&amp;IF(I73,", ""precio"":"&amp;I73,)&amp;", ""tipo"":"""&amp;H73&amp;"""},",)</f>
        <v>{"sku":"30004", "costo":10, "grupo":"1", "lote":1, "tiempo":10, "formula":[{"sku":"1309","req":3}], "vencimiento":1, "precio":7900, "tipo":"cocina"},</v>
      </c>
    </row>
    <row r="74" customFormat="false" ht="13" hidden="false" customHeight="false" outlineLevel="0" collapsed="false">
      <c r="A74" s="16" t="n">
        <v>1</v>
      </c>
      <c r="B74" s="0" t="n">
        <f aca="false">IFERROR(__xludf.dummyfunction("""COMPUTED_VALUE"""),30005)</f>
        <v>30005</v>
      </c>
      <c r="C74" s="24" t="n">
        <f aca="false">IFERROR(__xludf.dummyfunction("""COMPUTED_VALUE"""),10)</f>
        <v>10</v>
      </c>
      <c r="D74" s="0" t="n">
        <f aca="false">IFERROR(__xludf.dummyfunction("""COMPUTED_VALUE"""),1)</f>
        <v>1</v>
      </c>
      <c r="E74" s="0" t="n">
        <f aca="false">IFERROR(__xludf.dummyfunction("""COMPUTED_VALUE"""),10)</f>
        <v>10</v>
      </c>
      <c r="F74" s="0" t="str">
        <f aca="false">IFERROR(__xludf.dummyfunction("filter(Formulas!C:C,Formulas!A:A=B74)"),"""formula"":[{""sku"":""1309"",""req"":4}]")</f>
        <v>"formula":[{"sku":"1309","req":4}]</v>
      </c>
      <c r="G74" s="21" t="n">
        <f aca="false">IFERROR(__xludf.dummyfunction("""COMPUTED_VALUE"""),1)</f>
        <v>1</v>
      </c>
      <c r="H74" s="21" t="str">
        <f aca="false">IFERROR(__xludf.dummyfunction("IF(D74,filter(Productos!AC:AC,Productos!A:A=B74),)"),"cocina")</f>
        <v>cocina</v>
      </c>
      <c r="I74" s="24" t="n">
        <f aca="false">IFERROR(__xludf.dummyfunction("""COMPUTED_VALUE"""),9900)</f>
        <v>9900</v>
      </c>
      <c r="K74" s="0" t="str">
        <f aca="false">IF(D74,"{""sku"":"""&amp;B74&amp;""", ""costo"":"&amp;C74&amp;", ""grupo"":"""&amp;A74&amp;""", ""lote"":"&amp;D74&amp;", ""tiempo"":"&amp;E74&amp;", "&amp;F74&amp;", ""vencimiento"":"&amp;G74&amp;IF(I74,", ""precio"":"&amp;I74,)&amp;", ""tipo"":"""&amp;H74&amp;"""},",)</f>
        <v>{"sku":"30005", "costo":10, "grupo":"1", "lote":1, "tiempo":10, "formula":[{"sku":"1309","req":4}], "vencimiento":1, "precio":9900, "tipo":"cocina"},</v>
      </c>
    </row>
    <row r="75" customFormat="false" ht="13" hidden="false" customHeight="false" outlineLevel="0" collapsed="false">
      <c r="A75" s="16" t="n">
        <v>1</v>
      </c>
      <c r="B75" s="0" t="n">
        <f aca="false">IFERROR(__xludf.dummyfunction("""COMPUTED_VALUE"""),30006)</f>
        <v>30006</v>
      </c>
      <c r="C75" s="24" t="n">
        <f aca="false">IFERROR(__xludf.dummyfunction("""COMPUTED_VALUE"""),10)</f>
        <v>10</v>
      </c>
      <c r="D75" s="0" t="n">
        <f aca="false">IFERROR(__xludf.dummyfunction("""COMPUTED_VALUE"""),1)</f>
        <v>1</v>
      </c>
      <c r="E75" s="0" t="n">
        <f aca="false">IFERROR(__xludf.dummyfunction("""COMPUTED_VALUE"""),10)</f>
        <v>10</v>
      </c>
      <c r="F75" s="0" t="str">
        <f aca="false">IFERROR(__xludf.dummyfunction("filter(Formulas!C:C,Formulas!A:A=B75)"),"""formula"":[{""sku"":""1309"",""req"":5}]")</f>
        <v>"formula":[{"sku":"1309","req":5}]</v>
      </c>
      <c r="G75" s="0" t="n">
        <f aca="false">IFERROR(__xludf.dummyfunction("""COMPUTED_VALUE"""),1)</f>
        <v>1</v>
      </c>
      <c r="H75" s="21" t="str">
        <f aca="false">IFERROR(__xludf.dummyfunction("IF(D75,filter(Productos!AC:AC,Productos!A:A=B75),)"),"cocina")</f>
        <v>cocina</v>
      </c>
      <c r="I75" s="24" t="n">
        <f aca="false">IFERROR(__xludf.dummyfunction("""COMPUTED_VALUE"""),12500)</f>
        <v>12500</v>
      </c>
      <c r="K75" s="0" t="str">
        <f aca="false">IF(D75,"{""sku"":"""&amp;B75&amp;""", ""costo"":"&amp;C75&amp;", ""grupo"":"""&amp;A75&amp;""", ""lote"":"&amp;D75&amp;", ""tiempo"":"&amp;E75&amp;", "&amp;F75&amp;", ""vencimiento"":"&amp;G75&amp;IF(I75,", ""precio"":"&amp;I75,)&amp;", ""tipo"":"""&amp;H75&amp;"""},",)</f>
        <v>{"sku":"30006", "costo":10, "grupo":"1", "lote":1, "tiempo":10, "formula":[{"sku":"1309","req":5}], "vencimiento":1, "precio":12500, "tipo":"cocina"},</v>
      </c>
    </row>
    <row r="76" customFormat="false" ht="13" hidden="false" customHeight="false" outlineLevel="0" collapsed="false">
      <c r="A76" s="16" t="n">
        <v>1</v>
      </c>
      <c r="B76" s="0" t="n">
        <f aca="false">IFERROR(__xludf.dummyfunction("""COMPUTED_VALUE"""),30007)</f>
        <v>30007</v>
      </c>
      <c r="C76" s="24" t="n">
        <f aca="false">IFERROR(__xludf.dummyfunction("""COMPUTED_VALUE"""),10)</f>
        <v>10</v>
      </c>
      <c r="D76" s="0" t="n">
        <f aca="false">IFERROR(__xludf.dummyfunction("""COMPUTED_VALUE"""),1)</f>
        <v>1</v>
      </c>
      <c r="E76" s="0" t="n">
        <f aca="false">IFERROR(__xludf.dummyfunction("""COMPUTED_VALUE"""),10)</f>
        <v>10</v>
      </c>
      <c r="F76" s="0" t="str">
        <f aca="false">IFERROR(__xludf.dummyfunction("filter(Formulas!C:C,Formulas!A:A=B76)"),"""formula"":[{""sku"":""1309"",""req"":2},{""sku"":""1307"",""req"":2}]")</f>
        <v>"formula":[{"sku":"1309","req":2},{"sku":"1307","req":2}]</v>
      </c>
      <c r="G76" s="0" t="n">
        <f aca="false">IFERROR(__xludf.dummyfunction("""COMPUTED_VALUE"""),1)</f>
        <v>1</v>
      </c>
      <c r="H76" s="21" t="str">
        <f aca="false">IFERROR(__xludf.dummyfunction("IF(D76,filter(Productos!AC:AC,Productos!A:A=B76),)"),"cocina")</f>
        <v>cocina</v>
      </c>
      <c r="I76" s="24" t="n">
        <f aca="false">IFERROR(__xludf.dummyfunction("""COMPUTED_VALUE"""),9900)</f>
        <v>9900</v>
      </c>
      <c r="K76" s="0" t="str">
        <f aca="false">IF(D76,"{""sku"":"""&amp;B76&amp;""", ""costo"":"&amp;C76&amp;", ""grupo"":"""&amp;A76&amp;""", ""lote"":"&amp;D76&amp;", ""tiempo"":"&amp;E76&amp;", "&amp;F76&amp;", ""vencimiento"":"&amp;G76&amp;IF(I76,", ""precio"":"&amp;I76,)&amp;", ""tipo"":"""&amp;H76&amp;"""},",)</f>
        <v>{"sku":"30007", "costo":10, "grupo":"1", "lote":1, "tiempo":10, "formula":[{"sku":"1309","req":2},{"sku":"1307","req":2}], "vencimiento":1, "precio":9900, "tipo":"cocina"},</v>
      </c>
    </row>
    <row r="77" customFormat="false" ht="13" hidden="false" customHeight="false" outlineLevel="0" collapsed="false">
      <c r="A77" s="16" t="n">
        <v>1</v>
      </c>
      <c r="B77" s="0" t="n">
        <f aca="false">IFERROR(__xludf.dummyfunction("""COMPUTED_VALUE"""),30008)</f>
        <v>30008</v>
      </c>
      <c r="C77" s="24" t="n">
        <f aca="false">IFERROR(__xludf.dummyfunction("""COMPUTED_VALUE"""),10)</f>
        <v>10</v>
      </c>
      <c r="D77" s="0" t="n">
        <f aca="false">IFERROR(__xludf.dummyfunction("""COMPUTED_VALUE"""),1)</f>
        <v>1</v>
      </c>
      <c r="E77" s="0" t="n">
        <f aca="false">IFERROR(__xludf.dummyfunction("""COMPUTED_VALUE"""),10)</f>
        <v>10</v>
      </c>
      <c r="F77" s="0" t="str">
        <f aca="false">IFERROR(__xludf.dummyfunction("filter(Formulas!C:C,Formulas!A:A=B77)"),"""formula"":[{""sku"":""1309"",""req"":3},{""sku"":""1307"",""req"":3}]")</f>
        <v>"formula":[{"sku":"1309","req":3},{"sku":"1307","req":3}]</v>
      </c>
      <c r="G77" s="0" t="n">
        <f aca="false">IFERROR(__xludf.dummyfunction("""COMPUTED_VALUE"""),1)</f>
        <v>1</v>
      </c>
      <c r="H77" s="21" t="str">
        <f aca="false">IFERROR(__xludf.dummyfunction("IF(D77,filter(Productos!AC:AC,Productos!A:A=B77),)"),"cocina")</f>
        <v>cocina</v>
      </c>
      <c r="I77" s="24" t="n">
        <f aca="false">IFERROR(__xludf.dummyfunction("""COMPUTED_VALUE"""),15990)</f>
        <v>15990</v>
      </c>
      <c r="K77" s="0" t="str">
        <f aca="false">IF(D77,"{""sku"":"""&amp;B77&amp;""", ""costo"":"&amp;C77&amp;", ""grupo"":"""&amp;A77&amp;""", ""lote"":"&amp;D77&amp;", ""tiempo"":"&amp;E77&amp;", "&amp;F77&amp;", ""vencimiento"":"&amp;G77&amp;IF(I77,", ""precio"":"&amp;I77,)&amp;", ""tipo"":"""&amp;H77&amp;"""},",)</f>
        <v>{"sku":"30008", "costo":10, "grupo":"1", "lote":1, "tiempo":10, "formula":[{"sku":"1309","req":3},{"sku":"1307","req":3}], "vencimiento":1, "precio":15990, "tipo":"cocina"},</v>
      </c>
    </row>
    <row r="78" customFormat="false" ht="13" hidden="false" customHeight="false" outlineLevel="0" collapsed="false">
      <c r="H78" s="21" t="str">
        <f aca="false">IFERROR(__xludf.dummyfunction("IF(D78,filter(Productos!AC:AC,Productos!A:A=B78),)"),"")</f>
        <v/>
      </c>
      <c r="K78" s="0" t="n">
        <f aca="false">IF(D78,"{""sku"":"""&amp;B78&amp;""", ""costo"":"&amp;C78&amp;", ""grupo"":"""&amp;A78&amp;""", ""lote"":"&amp;D78&amp;", ""tiempo"":"&amp;E78&amp;", "&amp;F78&amp;", ""vencimiento"":"&amp;G78&amp;IF(I78,", ""precio"":"&amp;I78,)&amp;", ""tipo"":"""&amp;H78&amp;"""},",)</f>
        <v>0</v>
      </c>
    </row>
    <row r="79" customFormat="false" ht="13" hidden="false" customHeight="false" outlineLevel="0" collapsed="false">
      <c r="H79" s="21" t="str">
        <f aca="false">IFERROR(__xludf.dummyfunction("IF(D79,filter(Productos!AC:AC,Productos!A:A=B79),)"),"")</f>
        <v/>
      </c>
      <c r="K79" s="0" t="n">
        <f aca="false">IF(D79,"{""sku"":"""&amp;B79&amp;""", ""costo"":"&amp;C79&amp;", ""grupo"":"""&amp;A79&amp;""", ""lote"":"&amp;D79&amp;", ""tiempo"":"&amp;E79&amp;", "&amp;F79&amp;", ""vencimiento"":"&amp;G79&amp;IF(I79,", ""precio"":"&amp;I79,)&amp;", ""tipo"":"""&amp;H79&amp;"""},",)</f>
        <v>0</v>
      </c>
    </row>
    <row r="80" customFormat="false" ht="13" hidden="false" customHeight="false" outlineLevel="0" collapsed="false">
      <c r="H80" s="21" t="str">
        <f aca="false">IFERROR(__xludf.dummyfunction("IF(D80,filter(Productos!AC:AC,Productos!A:A=B80),)"),"")</f>
        <v/>
      </c>
      <c r="K80" s="0" t="n">
        <f aca="false">IF(D80,"{""sku"":"""&amp;B80&amp;""", ""costo"":"&amp;C80&amp;", ""grupo"":"""&amp;A80&amp;""", ""lote"":"&amp;D80&amp;", ""tiempo"":"&amp;E80&amp;", "&amp;F80&amp;", ""vencimiento"":"&amp;G80&amp;IF(I80,", ""precio"":"&amp;I80,)&amp;", ""tipo"":"""&amp;H80&amp;"""},",)</f>
        <v>0</v>
      </c>
    </row>
    <row r="81" customFormat="false" ht="13" hidden="false" customHeight="false" outlineLevel="0" collapsed="false">
      <c r="H81" s="21" t="str">
        <f aca="false">IFERROR(__xludf.dummyfunction("IF(D81,filter(Productos!AC:AC,Productos!A:A=B81),)"),"")</f>
        <v/>
      </c>
      <c r="K81" s="0" t="n">
        <f aca="false">IF(D81,"{""sku"":"""&amp;B81&amp;""", ""costo"":"&amp;C81&amp;", ""grupo"":"""&amp;A81&amp;""", ""lote"":"&amp;D81&amp;", ""tiempo"":"&amp;E81&amp;", "&amp;F81&amp;", ""vencimiento"":"&amp;G81&amp;IF(I81,", ""precio"":"&amp;I81,)&amp;", ""tipo"":"""&amp;H81&amp;"""},",)</f>
        <v>0</v>
      </c>
    </row>
    <row r="82" customFormat="false" ht="13" hidden="false" customHeight="false" outlineLevel="0" collapsed="false">
      <c r="A82" s="22" t="s">
        <v>240</v>
      </c>
      <c r="B82" s="16" t="s">
        <v>241</v>
      </c>
      <c r="G82" s="21"/>
      <c r="H82" s="21" t="str">
        <f aca="false">IFERROR(__xludf.dummyfunction("IF(D82,filter(Productos!AC:AC,Productos!A:A=B82),)"),"")</f>
        <v/>
      </c>
      <c r="K82" s="0" t="n">
        <f aca="false">IF(D82,"{""sku"":"""&amp;B82&amp;""", ""costo"":"&amp;C82&amp;", ""grupo"":"""&amp;A82&amp;""", ""lote"":"&amp;D82&amp;", ""tiempo"":"&amp;E82&amp;", "&amp;F82&amp;", ""vencimiento"":"&amp;G82&amp;IF(I82,", ""precio"":"&amp;I82,)&amp;", ""tipo"":"""&amp;H82&amp;"""},",)</f>
        <v>0</v>
      </c>
    </row>
    <row r="83" customFormat="false" ht="13" hidden="false" customHeight="false" outlineLevel="0" collapsed="false">
      <c r="A83" s="16" t="n">
        <v>2</v>
      </c>
      <c r="B83" s="0" t="n">
        <f aca="false">IFERROR(__xludf.dummyfunction("filter(Productos!$A$2:$A1017,INDIRECT(B82))"),1001)</f>
        <v>1001</v>
      </c>
      <c r="C83" s="24" t="n">
        <f aca="false">IFERROR(__xludf.dummyfunction("filter(Productos!$D$2:$D1017,INDIRECT(B82))"),3000)</f>
        <v>3000</v>
      </c>
      <c r="D83" s="0" t="n">
        <f aca="false">IFERROR(__xludf.dummyfunction("filter(Productos!$K$2:$L1017,INDIRECT(B82))"),10)</f>
        <v>10</v>
      </c>
      <c r="E83" s="0" t="n">
        <f aca="false">IFERROR(__xludf.dummyfunction("""COMPUTED_VALUE"""),240)</f>
        <v>240</v>
      </c>
      <c r="F83" s="0" t="str">
        <f aca="false">IFERROR(__xludf.dummyfunction("filter(Formulas!$C:$C,Formulas!$A:$A=B83)"),"""formula"":null")</f>
        <v>"formula":null</v>
      </c>
      <c r="G83" s="21" t="n">
        <f aca="false">IFERROR(__xludf.dummyfunction("filter(Productos!$H$2:$H1017,INDIRECT(B82))"),720)</f>
        <v>720</v>
      </c>
      <c r="H83" s="21" t="str">
        <f aca="false">IFERROR(__xludf.dummyfunction("IF(D83,filter(Productos!AC:AC,Productos!A:A=B83),)"),"fabrica")</f>
        <v>fabrica</v>
      </c>
      <c r="I83" s="24" t="str">
        <f aca="false">IFERROR(__xludf.dummyfunction("filter(Productos!$E$2:$E1017,INDIRECT(B82))"),"")</f>
        <v/>
      </c>
      <c r="K83" s="0" t="e">
        <f aca="false">IF(D83,"{""sku"":"""&amp;B83&amp;""", ""costo"":"&amp;C83&amp;", ""grupo"":"""&amp;A83&amp;""", ""lote"":"&amp;D83&amp;", ""tiempo"":"&amp;E83&amp;", "&amp;F83&amp;", ""vencimiento"":"&amp;G83&amp;IF(I83,", ""precio"":"&amp;I83,)&amp;", ""tipo"":"""&amp;H83&amp;"""},",)</f>
        <v>#VALUE!</v>
      </c>
    </row>
    <row r="84" customFormat="false" ht="13" hidden="false" customHeight="false" outlineLevel="0" collapsed="false">
      <c r="A84" s="16" t="n">
        <v>2</v>
      </c>
      <c r="B84" s="0" t="n">
        <f aca="false">IFERROR(__xludf.dummyfunction("""COMPUTED_VALUE"""),1002)</f>
        <v>1002</v>
      </c>
      <c r="C84" s="24" t="n">
        <f aca="false">IFERROR(__xludf.dummyfunction("""COMPUTED_VALUE"""),4590)</f>
        <v>4590</v>
      </c>
      <c r="D84" s="0" t="n">
        <f aca="false">IFERROR(__xludf.dummyfunction("""COMPUTED_VALUE"""),10)</f>
        <v>10</v>
      </c>
      <c r="E84" s="0" t="n">
        <f aca="false">IFERROR(__xludf.dummyfunction("""COMPUTED_VALUE"""),300)</f>
        <v>300</v>
      </c>
      <c r="F84" s="0" t="str">
        <f aca="false">IFERROR(__xludf.dummyfunction("filter(Formulas!$C:$C,Formulas!$A:$A=B84)"),"""formula"":null")</f>
        <v>"formula":null</v>
      </c>
      <c r="G84" s="0" t="n">
        <f aca="false">IFERROR(__xludf.dummyfunction("""COMPUTED_VALUE"""),720)</f>
        <v>720</v>
      </c>
      <c r="H84" s="21" t="str">
        <f aca="false">IFERROR(__xludf.dummyfunction("IF(D84,filter(Productos!AC:AC,Productos!A:A=B84),)"),"fabrica")</f>
        <v>fabrica</v>
      </c>
      <c r="I84" s="24" t="str">
        <f aca="false">IFERROR(__xludf.dummyfunction("""COMPUTED_VALUE"""),"")</f>
        <v/>
      </c>
      <c r="K84" s="0" t="e">
        <f aca="false">IF(D84,"{""sku"":"""&amp;B84&amp;""", ""costo"":"&amp;C84&amp;", ""grupo"":"""&amp;A84&amp;""", ""lote"":"&amp;D84&amp;", ""tiempo"":"&amp;E84&amp;", "&amp;F84&amp;", ""vencimiento"":"&amp;G84&amp;IF(I84,", ""precio"":"&amp;I84,)&amp;", ""tipo"":"""&amp;H84&amp;"""},",)</f>
        <v>#VALUE!</v>
      </c>
    </row>
    <row r="85" customFormat="false" ht="13" hidden="false" customHeight="false" outlineLevel="0" collapsed="false">
      <c r="A85" s="16" t="n">
        <v>2</v>
      </c>
      <c r="B85" s="0" t="n">
        <f aca="false">IFERROR(__xludf.dummyfunction("""COMPUTED_VALUE"""),1006)</f>
        <v>1006</v>
      </c>
      <c r="C85" s="24" t="n">
        <f aca="false">IFERROR(__xludf.dummyfunction("""COMPUTED_VALUE"""),15990)</f>
        <v>15990</v>
      </c>
      <c r="D85" s="0" t="n">
        <f aca="false">IFERROR(__xludf.dummyfunction("""COMPUTED_VALUE"""),1)</f>
        <v>1</v>
      </c>
      <c r="E85" s="0" t="n">
        <f aca="false">IFERROR(__xludf.dummyfunction("""COMPUTED_VALUE"""),120)</f>
        <v>120</v>
      </c>
      <c r="F85" s="0" t="str">
        <f aca="false">IFERROR(__xludf.dummyfunction("filter(Formulas!$C:$C,Formulas!$A:$A=B85)"),"""formula"":null")</f>
        <v>"formula":null</v>
      </c>
      <c r="G85" s="0" t="n">
        <f aca="false">IFERROR(__xludf.dummyfunction("""COMPUTED_VALUE"""),720)</f>
        <v>720</v>
      </c>
      <c r="H85" s="21" t="str">
        <f aca="false">IFERROR(__xludf.dummyfunction("IF(D85,filter(Productos!AC:AC,Productos!A:A=B85),)"),"fabrica")</f>
        <v>fabrica</v>
      </c>
      <c r="I85" s="24" t="str">
        <f aca="false">IFERROR(__xludf.dummyfunction("""COMPUTED_VALUE"""),"")</f>
        <v/>
      </c>
      <c r="K85" s="0" t="e">
        <f aca="false">IF(D85,"{""sku"":"""&amp;B85&amp;""", ""costo"":"&amp;C85&amp;", ""grupo"":"""&amp;A85&amp;""", ""lote"":"&amp;D85&amp;", ""tiempo"":"&amp;E85&amp;", "&amp;F85&amp;", ""vencimiento"":"&amp;G85&amp;IF(I85,", ""precio"":"&amp;I85,)&amp;", ""tipo"":"""&amp;H85&amp;"""},",)</f>
        <v>#VALUE!</v>
      </c>
    </row>
    <row r="86" customFormat="false" ht="13" hidden="false" customHeight="false" outlineLevel="0" collapsed="false">
      <c r="A86" s="16" t="n">
        <v>2</v>
      </c>
      <c r="B86" s="0" t="n">
        <f aca="false">IFERROR(__xludf.dummyfunction("""COMPUTED_VALUE"""),1010)</f>
        <v>1010</v>
      </c>
      <c r="C86" s="24" t="n">
        <f aca="false">IFERROR(__xludf.dummyfunction("""COMPUTED_VALUE"""),2990)</f>
        <v>2990</v>
      </c>
      <c r="D86" s="0" t="n">
        <f aca="false">IFERROR(__xludf.dummyfunction("""COMPUTED_VALUE"""),5)</f>
        <v>5</v>
      </c>
      <c r="E86" s="0" t="n">
        <f aca="false">IFERROR(__xludf.dummyfunction("""COMPUTED_VALUE"""),480)</f>
        <v>480</v>
      </c>
      <c r="F86" s="0" t="str">
        <f aca="false">IFERROR(__xludf.dummyfunction("filter(Formulas!$C:$C,Formulas!$A:$A=B86)"),"""formula"":null")</f>
        <v>"formula":null</v>
      </c>
      <c r="G86" s="0" t="n">
        <f aca="false">IFERROR(__xludf.dummyfunction("""COMPUTED_VALUE"""),30)</f>
        <v>30</v>
      </c>
      <c r="H86" s="21" t="str">
        <f aca="false">IFERROR(__xludf.dummyfunction("IF(D86,filter(Productos!AC:AC,Productos!A:A=B86),)"),"fabrica")</f>
        <v>fabrica</v>
      </c>
      <c r="I86" s="24" t="str">
        <f aca="false">IFERROR(__xludf.dummyfunction("""COMPUTED_VALUE"""),"")</f>
        <v/>
      </c>
      <c r="K86" s="0" t="e">
        <f aca="false">IF(D86,"{""sku"":"""&amp;B86&amp;""", ""costo"":"&amp;C86&amp;", ""grupo"":"""&amp;A86&amp;""", ""lote"":"&amp;D86&amp;", ""tiempo"":"&amp;E86&amp;", "&amp;F86&amp;", ""vencimiento"":"&amp;G86&amp;IF(I86,", ""precio"":"&amp;I86,)&amp;", ""tipo"":"""&amp;H86&amp;"""},",)</f>
        <v>#VALUE!</v>
      </c>
    </row>
    <row r="87" customFormat="false" ht="13" hidden="false" customHeight="false" outlineLevel="0" collapsed="false">
      <c r="A87" s="16" t="n">
        <v>2</v>
      </c>
      <c r="B87" s="0" t="n">
        <f aca="false">IFERROR(__xludf.dummyfunction("""COMPUTED_VALUE"""),1011)</f>
        <v>1011</v>
      </c>
      <c r="C87" s="24" t="n">
        <f aca="false">IFERROR(__xludf.dummyfunction("""COMPUTED_VALUE"""),990)</f>
        <v>990</v>
      </c>
      <c r="D87" s="0" t="n">
        <f aca="false">IFERROR(__xludf.dummyfunction("""COMPUTED_VALUE"""),4)</f>
        <v>4</v>
      </c>
      <c r="E87" s="0" t="n">
        <f aca="false">IFERROR(__xludf.dummyfunction("""COMPUTED_VALUE"""),120)</f>
        <v>120</v>
      </c>
      <c r="F87" s="0" t="str">
        <f aca="false">IFERROR(__xludf.dummyfunction("filter(Formulas!$C:$C,Formulas!$A:$A=B87)"),"""formula"":null")</f>
        <v>"formula":null</v>
      </c>
      <c r="G87" s="0" t="n">
        <f aca="false">IFERROR(__xludf.dummyfunction("""COMPUTED_VALUE"""),168)</f>
        <v>168</v>
      </c>
      <c r="H87" s="21" t="str">
        <f aca="false">IFERROR(__xludf.dummyfunction("IF(D87,filter(Productos!AC:AC,Productos!A:A=B87),)"),"fabrica")</f>
        <v>fabrica</v>
      </c>
      <c r="I87" s="24" t="str">
        <f aca="false">IFERROR(__xludf.dummyfunction("""COMPUTED_VALUE"""),"")</f>
        <v/>
      </c>
      <c r="K87" s="0" t="e">
        <f aca="false">IF(D87,"{""sku"":"""&amp;B87&amp;""", ""costo"":"&amp;C87&amp;", ""grupo"":"""&amp;A87&amp;""", ""lote"":"&amp;D87&amp;", ""tiempo"":"&amp;E87&amp;", "&amp;F87&amp;", ""vencimiento"":"&amp;G87&amp;IF(I87,", ""precio"":"&amp;I87,)&amp;", ""tipo"":"""&amp;H87&amp;"""},",)</f>
        <v>#VALUE!</v>
      </c>
    </row>
    <row r="88" customFormat="false" ht="13" hidden="false" customHeight="false" outlineLevel="0" collapsed="false">
      <c r="A88" s="16" t="n">
        <v>2</v>
      </c>
      <c r="B88" s="0" t="n">
        <f aca="false">IFERROR(__xludf.dummyfunction("""COMPUTED_VALUE"""),1012)</f>
        <v>1012</v>
      </c>
      <c r="C88" s="24" t="n">
        <f aca="false">IFERROR(__xludf.dummyfunction("""COMPUTED_VALUE"""),9990)</f>
        <v>9990</v>
      </c>
      <c r="D88" s="0" t="n">
        <f aca="false">IFERROR(__xludf.dummyfunction("""COMPUTED_VALUE"""),7)</f>
        <v>7</v>
      </c>
      <c r="E88" s="0" t="n">
        <f aca="false">IFERROR(__xludf.dummyfunction("""COMPUTED_VALUE"""),150)</f>
        <v>150</v>
      </c>
      <c r="F88" s="0" t="str">
        <f aca="false">IFERROR(__xludf.dummyfunction("filter(Formulas!$C:$C,Formulas!$A:$A=B88)"),"""formula"":null")</f>
        <v>"formula":null</v>
      </c>
      <c r="G88" s="0" t="n">
        <f aca="false">IFERROR(__xludf.dummyfunction("""COMPUTED_VALUE"""),72)</f>
        <v>72</v>
      </c>
      <c r="H88" s="21" t="str">
        <f aca="false">IFERROR(__xludf.dummyfunction("IF(D88,filter(Productos!AC:AC,Productos!A:A=B88),)"),"fabrica")</f>
        <v>fabrica</v>
      </c>
      <c r="I88" s="24" t="str">
        <f aca="false">IFERROR(__xludf.dummyfunction("""COMPUTED_VALUE"""),"")</f>
        <v/>
      </c>
      <c r="K88" s="0" t="e">
        <f aca="false">IF(D88,"{""sku"":"""&amp;B88&amp;""", ""costo"":"&amp;C88&amp;", ""grupo"":"""&amp;A88&amp;""", ""lote"":"&amp;D88&amp;", ""tiempo"":"&amp;E88&amp;", "&amp;F88&amp;", ""vencimiento"":"&amp;G88&amp;IF(I88,", ""precio"":"&amp;I88,)&amp;", ""tipo"":"""&amp;H88&amp;"""},",)</f>
        <v>#VALUE!</v>
      </c>
    </row>
    <row r="89" customFormat="false" ht="13" hidden="false" customHeight="false" outlineLevel="0" collapsed="false">
      <c r="A89" s="16" t="n">
        <v>2</v>
      </c>
      <c r="B89" s="0" t="n">
        <f aca="false">IFERROR(__xludf.dummyfunction("""COMPUTED_VALUE"""),1014)</f>
        <v>1014</v>
      </c>
      <c r="C89" s="24" t="n">
        <f aca="false">IFERROR(__xludf.dummyfunction("""COMPUTED_VALUE"""),690)</f>
        <v>690</v>
      </c>
      <c r="D89" s="0" t="n">
        <f aca="false">IFERROR(__xludf.dummyfunction("""COMPUTED_VALUE"""),5)</f>
        <v>5</v>
      </c>
      <c r="E89" s="0" t="n">
        <f aca="false">IFERROR(__xludf.dummyfunction("""COMPUTED_VALUE"""),240)</f>
        <v>240</v>
      </c>
      <c r="F89" s="0" t="str">
        <f aca="false">IFERROR(__xludf.dummyfunction("filter(Formulas!$C:$C,Formulas!$A:$A=B89)"),"""formula"":null")</f>
        <v>"formula":null</v>
      </c>
      <c r="G89" s="0" t="n">
        <f aca="false">IFERROR(__xludf.dummyfunction("""COMPUTED_VALUE"""),24)</f>
        <v>24</v>
      </c>
      <c r="H89" s="21" t="str">
        <f aca="false">IFERROR(__xludf.dummyfunction("IF(D89,filter(Productos!AC:AC,Productos!A:A=B89),)"),"fabrica")</f>
        <v>fabrica</v>
      </c>
      <c r="I89" s="24" t="str">
        <f aca="false">IFERROR(__xludf.dummyfunction("""COMPUTED_VALUE"""),"")</f>
        <v/>
      </c>
      <c r="K89" s="0" t="e">
        <f aca="false">IF(D89,"{""sku"":"""&amp;B89&amp;""", ""costo"":"&amp;C89&amp;", ""grupo"":"""&amp;A89&amp;""", ""lote"":"&amp;D89&amp;", ""tiempo"":"&amp;E89&amp;", "&amp;F89&amp;", ""vencimiento"":"&amp;G89&amp;IF(I89,", ""precio"":"&amp;I89,)&amp;", ""tipo"":"""&amp;H89&amp;"""},",)</f>
        <v>#VALUE!</v>
      </c>
    </row>
    <row r="90" customFormat="false" ht="13" hidden="false" customHeight="false" outlineLevel="0" collapsed="false">
      <c r="A90" s="16" t="n">
        <v>2</v>
      </c>
      <c r="B90" s="0" t="n">
        <f aca="false">IFERROR(__xludf.dummyfunction("""COMPUTED_VALUE"""),1016)</f>
        <v>1016</v>
      </c>
      <c r="C90" s="24" t="n">
        <f aca="false">IFERROR(__xludf.dummyfunction("""COMPUTED_VALUE"""),2790)</f>
        <v>2790</v>
      </c>
      <c r="D90" s="0" t="n">
        <f aca="false">IFERROR(__xludf.dummyfunction("""COMPUTED_VALUE"""),8)</f>
        <v>8</v>
      </c>
      <c r="E90" s="0" t="n">
        <f aca="false">IFERROR(__xludf.dummyfunction("""COMPUTED_VALUE"""),600)</f>
        <v>600</v>
      </c>
      <c r="F90" s="0" t="str">
        <f aca="false">IFERROR(__xludf.dummyfunction("filter(Formulas!$C:$C,Formulas!$A:$A=B90)"),"""formula"":null")</f>
        <v>"formula":null</v>
      </c>
      <c r="G90" s="0" t="n">
        <f aca="false">IFERROR(__xludf.dummyfunction("""COMPUTED_VALUE"""),240)</f>
        <v>240</v>
      </c>
      <c r="H90" s="21" t="str">
        <f aca="false">IFERROR(__xludf.dummyfunction("IF(D90,filter(Productos!AC:AC,Productos!A:A=B90),)"),"fabrica")</f>
        <v>fabrica</v>
      </c>
      <c r="I90" s="0" t="str">
        <f aca="false">IFERROR(__xludf.dummyfunction("""COMPUTED_VALUE"""),"")</f>
        <v/>
      </c>
      <c r="K90" s="0" t="e">
        <f aca="false">IF(D90,"{""sku"":"""&amp;B90&amp;""", ""costo"":"&amp;C90&amp;", ""grupo"":"""&amp;A90&amp;""", ""lote"":"&amp;D90&amp;", ""tiempo"":"&amp;E90&amp;", "&amp;F90&amp;", ""vencimiento"":"&amp;G90&amp;IF(I90,", ""precio"":"&amp;I90,)&amp;", ""tipo"":"""&amp;H90&amp;"""},",)</f>
        <v>#VALUE!</v>
      </c>
    </row>
    <row r="91" customFormat="false" ht="13" hidden="false" customHeight="false" outlineLevel="0" collapsed="false">
      <c r="A91" s="16" t="n">
        <v>2</v>
      </c>
      <c r="B91" s="0" t="n">
        <f aca="false">IFERROR(__xludf.dummyfunction("""COMPUTED_VALUE"""),1101)</f>
        <v>1101</v>
      </c>
      <c r="C91" s="24" t="n">
        <f aca="false">IFERROR(__xludf.dummyfunction("""COMPUTED_VALUE"""),500)</f>
        <v>500</v>
      </c>
      <c r="D91" s="0" t="n">
        <f aca="false">IFERROR(__xludf.dummyfunction("""COMPUTED_VALUE"""),10)</f>
        <v>10</v>
      </c>
      <c r="E91" s="0" t="n">
        <f aca="false">IFERROR(__xludf.dummyfunction("""COMPUTED_VALUE"""),40)</f>
        <v>40</v>
      </c>
      <c r="F91" s="0" t="str">
        <f aca="false">IFERROR(__xludf.dummyfunction("filter(Formulas!$C:$C,Formulas!$A:$A=B91)"),"""formula"":[{""sku"":""1001"",""req"":8},{""sku"":""1003"",""req"":3},{""sku"":""1004"",""req"":2},{""sku"":""1002"",""req"":4}]")</f>
        <v>"formula":[{"sku":"1001","req":8},{"sku":"1003","req":3},{"sku":"1004","req":2},{"sku":"1002","req":4}]</v>
      </c>
      <c r="G91" s="0" t="n">
        <f aca="false">IFERROR(__xludf.dummyfunction("""COMPUTED_VALUE"""),3)</f>
        <v>3</v>
      </c>
      <c r="H91" s="21" t="str">
        <f aca="false">IFERROR(__xludf.dummyfunction("IF(D91,filter(Productos!AC:AC,Productos!A:A=B91),)"),"fabrica")</f>
        <v>fabrica</v>
      </c>
      <c r="I91" s="24" t="str">
        <f aca="false">IFERROR(__xludf.dummyfunction("""COMPUTED_VALUE"""),"")</f>
        <v/>
      </c>
      <c r="K91" s="0" t="e">
        <f aca="false">IF(D91,"{""sku"":"""&amp;B91&amp;""", ""costo"":"&amp;C91&amp;", ""grupo"":"""&amp;A91&amp;""", ""lote"":"&amp;D91&amp;", ""tiempo"":"&amp;E91&amp;", "&amp;F91&amp;", ""vencimiento"":"&amp;G91&amp;IF(I91,", ""precio"":"&amp;I91,)&amp;", ""tipo"":"""&amp;H91&amp;"""},",)</f>
        <v>#VALUE!</v>
      </c>
    </row>
    <row r="92" customFormat="false" ht="13" hidden="false" customHeight="false" outlineLevel="0" collapsed="false">
      <c r="A92" s="16" t="n">
        <v>2</v>
      </c>
      <c r="B92" s="0" t="n">
        <f aca="false">IFERROR(__xludf.dummyfunction("""COMPUTED_VALUE"""),1105)</f>
        <v>1105</v>
      </c>
      <c r="C92" s="24" t="n">
        <f aca="false">IFERROR(__xludf.dummyfunction("""COMPUTED_VALUE"""),10)</f>
        <v>10</v>
      </c>
      <c r="D92" s="0" t="n">
        <f aca="false">IFERROR(__xludf.dummyfunction("""COMPUTED_VALUE"""),10)</f>
        <v>10</v>
      </c>
      <c r="E92" s="0" t="n">
        <f aca="false">IFERROR(__xludf.dummyfunction("""COMPUTED_VALUE"""),10)</f>
        <v>10</v>
      </c>
      <c r="F92" s="0" t="str">
        <f aca="false">IFERROR(__xludf.dummyfunction("filter(Formulas!$C:$C,Formulas!$A:$A=B92)"),"""formula"":[{""sku"":""1005"",""req"":1}]")</f>
        <v>"formula":[{"sku":"1005","req":1}]</v>
      </c>
      <c r="G92" s="0" t="n">
        <f aca="false">IFERROR(__xludf.dummyfunction("""COMPUTED_VALUE"""),3)</f>
        <v>3</v>
      </c>
      <c r="H92" s="21" t="str">
        <f aca="false">IFERROR(__xludf.dummyfunction("IF(D92,filter(Productos!AC:AC,Productos!A:A=B92),)"),"fabrica")</f>
        <v>fabrica</v>
      </c>
      <c r="I92" s="24" t="str">
        <f aca="false">IFERROR(__xludf.dummyfunction("""COMPUTED_VALUE"""),"")</f>
        <v/>
      </c>
      <c r="K92" s="0" t="e">
        <f aca="false">IF(D92,"{""sku"":"""&amp;B92&amp;""", ""costo"":"&amp;C92&amp;", ""grupo"":"""&amp;A92&amp;""", ""lote"":"&amp;D92&amp;", ""tiempo"":"&amp;E92&amp;", "&amp;F92&amp;", ""vencimiento"":"&amp;G92&amp;IF(I92,", ""precio"":"&amp;I92,)&amp;", ""tipo"":"""&amp;H92&amp;"""},",)</f>
        <v>#VALUE!</v>
      </c>
    </row>
    <row r="93" customFormat="false" ht="13" hidden="false" customHeight="false" outlineLevel="0" collapsed="false">
      <c r="A93" s="16" t="n">
        <v>2</v>
      </c>
      <c r="B93" s="0" t="n">
        <f aca="false">IFERROR(__xludf.dummyfunction("""COMPUTED_VALUE"""),1106)</f>
        <v>1106</v>
      </c>
      <c r="C93" s="24" t="n">
        <f aca="false">IFERROR(__xludf.dummyfunction("""COMPUTED_VALUE"""),700)</f>
        <v>700</v>
      </c>
      <c r="D93" s="0" t="n">
        <f aca="false">IFERROR(__xludf.dummyfunction("""COMPUTED_VALUE"""),100)</f>
        <v>100</v>
      </c>
      <c r="E93" s="0" t="n">
        <f aca="false">IFERROR(__xludf.dummyfunction("""COMPUTED_VALUE"""),30)</f>
        <v>30</v>
      </c>
      <c r="F93" s="0" t="str">
        <f aca="false">IFERROR(__xludf.dummyfunction("filter(Formulas!$C:$C,Formulas!$A:$A=B93)"),"""formula"":[{""sku"":""1006"",""req"":1}]")</f>
        <v>"formula":[{"sku":"1006","req":1}]</v>
      </c>
      <c r="G93" s="0" t="n">
        <f aca="false">IFERROR(__xludf.dummyfunction("""COMPUTED_VALUE"""),4)</f>
        <v>4</v>
      </c>
      <c r="H93" s="21" t="str">
        <f aca="false">IFERROR(__xludf.dummyfunction("IF(D93,filter(Productos!AC:AC,Productos!A:A=B93),)"),"fabrica")</f>
        <v>fabrica</v>
      </c>
      <c r="I93" s="24" t="str">
        <f aca="false">IFERROR(__xludf.dummyfunction("""COMPUTED_VALUE"""),"")</f>
        <v/>
      </c>
      <c r="K93" s="0" t="e">
        <f aca="false">IF(D93,"{""sku"":"""&amp;B93&amp;""", ""costo"":"&amp;C93&amp;", ""grupo"":"""&amp;A93&amp;""", ""lote"":"&amp;D93&amp;", ""tiempo"":"&amp;E93&amp;", "&amp;F93&amp;", ""vencimiento"":"&amp;G93&amp;IF(I93,", ""precio"":"&amp;I93,)&amp;", ""tipo"":"""&amp;H93&amp;"""},",)</f>
        <v>#VALUE!</v>
      </c>
    </row>
    <row r="94" customFormat="false" ht="13" hidden="false" customHeight="false" outlineLevel="0" collapsed="false">
      <c r="A94" s="16" t="n">
        <v>2</v>
      </c>
      <c r="B94" s="0" t="n">
        <f aca="false">IFERROR(__xludf.dummyfunction("""COMPUTED_VALUE"""),1107)</f>
        <v>1107</v>
      </c>
      <c r="C94" s="24" t="n">
        <f aca="false">IFERROR(__xludf.dummyfunction("""COMPUTED_VALUE"""),10)</f>
        <v>10</v>
      </c>
      <c r="D94" s="0" t="n">
        <f aca="false">IFERROR(__xludf.dummyfunction("""COMPUTED_VALUE"""),11)</f>
        <v>11</v>
      </c>
      <c r="E94" s="0" t="n">
        <f aca="false">IFERROR(__xludf.dummyfunction("""COMPUTED_VALUE"""),20)</f>
        <v>20</v>
      </c>
      <c r="F94" s="0" t="str">
        <f aca="false">IFERROR(__xludf.dummyfunction("filter(Formulas!$C:$C,Formulas!$A:$A=B94)"),"""formula"":[{""sku"":""1007"",""req"":1}]")</f>
        <v>"formula":[{"sku":"1007","req":1}]</v>
      </c>
      <c r="G94" s="0" t="n">
        <f aca="false">IFERROR(__xludf.dummyfunction("""COMPUTED_VALUE"""),2)</f>
        <v>2</v>
      </c>
      <c r="H94" s="21" t="str">
        <f aca="false">IFERROR(__xludf.dummyfunction("IF(D94,filter(Productos!AC:AC,Productos!A:A=B94),)"),"fabrica")</f>
        <v>fabrica</v>
      </c>
      <c r="I94" s="24" t="str">
        <f aca="false">IFERROR(__xludf.dummyfunction("""COMPUTED_VALUE"""),"")</f>
        <v/>
      </c>
      <c r="K94" s="0" t="e">
        <f aca="false">IF(D94,"{""sku"":"""&amp;B94&amp;""", ""costo"":"&amp;C94&amp;", ""grupo"":"""&amp;A94&amp;""", ""lote"":"&amp;D94&amp;", ""tiempo"":"&amp;E94&amp;", "&amp;F94&amp;", ""vencimiento"":"&amp;G94&amp;IF(I94,", ""precio"":"&amp;I94,)&amp;", ""tipo"":"""&amp;H94&amp;"""},",)</f>
        <v>#VALUE!</v>
      </c>
    </row>
    <row r="95" customFormat="false" ht="13" hidden="false" customHeight="false" outlineLevel="0" collapsed="false">
      <c r="A95" s="16" t="n">
        <v>2</v>
      </c>
      <c r="B95" s="0" t="n">
        <f aca="false">IFERROR(__xludf.dummyfunction("""COMPUTED_VALUE"""),1108)</f>
        <v>1108</v>
      </c>
      <c r="C95" s="24" t="n">
        <f aca="false">IFERROR(__xludf.dummyfunction("""COMPUTED_VALUE"""),10)</f>
        <v>10</v>
      </c>
      <c r="D95" s="0" t="n">
        <f aca="false">IFERROR(__xludf.dummyfunction("""COMPUTED_VALUE"""),6)</f>
        <v>6</v>
      </c>
      <c r="E95" s="0" t="n">
        <f aca="false">IFERROR(__xludf.dummyfunction("""COMPUTED_VALUE"""),20)</f>
        <v>20</v>
      </c>
      <c r="F95" s="0" t="str">
        <f aca="false">IFERROR(__xludf.dummyfunction("filter(Formulas!$C:$C,Formulas!$A:$A=B95)"),"""formula"":[{""sku"":""1008"",""req"":1}]")</f>
        <v>"formula":[{"sku":"1008","req":1}]</v>
      </c>
      <c r="G95" s="0" t="n">
        <f aca="false">IFERROR(__xludf.dummyfunction("""COMPUTED_VALUE"""),4)</f>
        <v>4</v>
      </c>
      <c r="H95" s="21" t="str">
        <f aca="false">IFERROR(__xludf.dummyfunction("IF(D95,filter(Productos!AC:AC,Productos!A:A=B95),)"),"fabrica")</f>
        <v>fabrica</v>
      </c>
      <c r="I95" s="24" t="str">
        <f aca="false">IFERROR(__xludf.dummyfunction("""COMPUTED_VALUE"""),"")</f>
        <v/>
      </c>
      <c r="K95" s="0" t="e">
        <f aca="false">IF(D95,"{""sku"":"""&amp;B95&amp;""", ""costo"":"&amp;C95&amp;", ""grupo"":"""&amp;A95&amp;""", ""lote"":"&amp;D95&amp;", ""tiempo"":"&amp;E95&amp;", "&amp;F95&amp;", ""vencimiento"":"&amp;G95&amp;IF(I95,", ""precio"":"&amp;I95,)&amp;", ""tipo"":"""&amp;H95&amp;"""},",)</f>
        <v>#VALUE!</v>
      </c>
    </row>
    <row r="96" customFormat="false" ht="13" hidden="false" customHeight="false" outlineLevel="0" collapsed="false">
      <c r="A96" s="16" t="n">
        <v>2</v>
      </c>
      <c r="B96" s="0" t="n">
        <f aca="false">IFERROR(__xludf.dummyfunction("""COMPUTED_VALUE"""),1109)</f>
        <v>1109</v>
      </c>
      <c r="C96" s="24" t="n">
        <f aca="false">IFERROR(__xludf.dummyfunction("""COMPUTED_VALUE"""),10)</f>
        <v>10</v>
      </c>
      <c r="D96" s="0" t="n">
        <f aca="false">IFERROR(__xludf.dummyfunction("""COMPUTED_VALUE"""),12)</f>
        <v>12</v>
      </c>
      <c r="E96" s="0" t="n">
        <f aca="false">IFERROR(__xludf.dummyfunction("""COMPUTED_VALUE"""),30)</f>
        <v>30</v>
      </c>
      <c r="F96" s="0" t="str">
        <f aca="false">IFERROR(__xludf.dummyfunction("filter(Formulas!$C:$C,Formulas!$A:$A=B96)"),"""formula"":[{""sku"":""1009"",""req"":1}]")</f>
        <v>"formula":[{"sku":"1009","req":1}]</v>
      </c>
      <c r="G96" s="0" t="n">
        <f aca="false">IFERROR(__xludf.dummyfunction("""COMPUTED_VALUE"""),1.5)</f>
        <v>1.5</v>
      </c>
      <c r="H96" s="21" t="str">
        <f aca="false">IFERROR(__xludf.dummyfunction("IF(D96,filter(Productos!AC:AC,Productos!A:A=B96),)"),"fabrica")</f>
        <v>fabrica</v>
      </c>
      <c r="I96" s="24" t="str">
        <f aca="false">IFERROR(__xludf.dummyfunction("""COMPUTED_VALUE"""),"")</f>
        <v/>
      </c>
      <c r="K96" s="0" t="e">
        <f aca="false">IF(D96,"{""sku"":"""&amp;B96&amp;""", ""costo"":"&amp;C96&amp;", ""grupo"":"""&amp;A96&amp;""", ""lote"":"&amp;D96&amp;", ""tiempo"":"&amp;E96&amp;", "&amp;F96&amp;", ""vencimiento"":"&amp;G96&amp;IF(I96,", ""precio"":"&amp;I96,)&amp;", ""tipo"":"""&amp;H96&amp;"""},",)</f>
        <v>#VALUE!</v>
      </c>
    </row>
    <row r="97" customFormat="false" ht="13" hidden="false" customHeight="false" outlineLevel="0" collapsed="false">
      <c r="A97" s="16" t="n">
        <v>2</v>
      </c>
      <c r="B97" s="0" t="n">
        <f aca="false">IFERROR(__xludf.dummyfunction("""COMPUTED_VALUE"""),1110)</f>
        <v>1110</v>
      </c>
      <c r="C97" s="24" t="n">
        <f aca="false">IFERROR(__xludf.dummyfunction("""COMPUTED_VALUE"""),10)</f>
        <v>10</v>
      </c>
      <c r="D97" s="0" t="n">
        <f aca="false">IFERROR(__xludf.dummyfunction("""COMPUTED_VALUE"""),6)</f>
        <v>6</v>
      </c>
      <c r="E97" s="0" t="n">
        <f aca="false">IFERROR(__xludf.dummyfunction("""COMPUTED_VALUE"""),10)</f>
        <v>10</v>
      </c>
      <c r="F97" s="0" t="str">
        <f aca="false">IFERROR(__xludf.dummyfunction("filter(Formulas!$C:$C,Formulas!$A:$A=B97)"),"""formula"":[{""sku"":""1010"",""req"":1}]")</f>
        <v>"formula":[{"sku":"1010","req":1}]</v>
      </c>
      <c r="G97" s="0" t="n">
        <f aca="false">IFERROR(__xludf.dummyfunction("""COMPUTED_VALUE"""),2)</f>
        <v>2</v>
      </c>
      <c r="H97" s="21" t="str">
        <f aca="false">IFERROR(__xludf.dummyfunction("IF(D97,filter(Productos!AC:AC,Productos!A:A=B97),)"),"fabrica")</f>
        <v>fabrica</v>
      </c>
      <c r="I97" s="24" t="str">
        <f aca="false">IFERROR(__xludf.dummyfunction("""COMPUTED_VALUE"""),"")</f>
        <v/>
      </c>
      <c r="K97" s="0" t="e">
        <f aca="false">IF(D97,"{""sku"":"""&amp;B97&amp;""", ""costo"":"&amp;C97&amp;", ""grupo"":"""&amp;A97&amp;""", ""lote"":"&amp;D97&amp;", ""tiempo"":"&amp;E97&amp;", "&amp;F97&amp;", ""vencimiento"":"&amp;G97&amp;IF(I97,", ""precio"":"&amp;I97,)&amp;", ""tipo"":"""&amp;H97&amp;"""},",)</f>
        <v>#VALUE!</v>
      </c>
    </row>
    <row r="98" customFormat="false" ht="13" hidden="false" customHeight="false" outlineLevel="0" collapsed="false">
      <c r="A98" s="16" t="n">
        <v>2</v>
      </c>
      <c r="B98" s="0" t="n">
        <f aca="false">IFERROR(__xludf.dummyfunction("""COMPUTED_VALUE"""),1111)</f>
        <v>1111</v>
      </c>
      <c r="C98" s="24" t="n">
        <f aca="false">IFERROR(__xludf.dummyfunction("""COMPUTED_VALUE"""),120)</f>
        <v>120</v>
      </c>
      <c r="D98" s="0" t="n">
        <f aca="false">IFERROR(__xludf.dummyfunction("""COMPUTED_VALUE"""),2)</f>
        <v>2</v>
      </c>
      <c r="E98" s="0" t="n">
        <f aca="false">IFERROR(__xludf.dummyfunction("""COMPUTED_VALUE"""),30)</f>
        <v>30</v>
      </c>
      <c r="F98" s="0" t="str">
        <f aca="false">IFERROR(__xludf.dummyfunction("filter(Formulas!$C:$C,Formulas!$A:$A=B98)"),"""formula"":[{""sku"":""1011"",""req"":2}]")</f>
        <v>"formula":[{"sku":"1011","req":2}]</v>
      </c>
      <c r="G98" s="0" t="n">
        <f aca="false">IFERROR(__xludf.dummyfunction("""COMPUTED_VALUE"""),12)</f>
        <v>12</v>
      </c>
      <c r="H98" s="21" t="str">
        <f aca="false">IFERROR(__xludf.dummyfunction("IF(D98,filter(Productos!AC:AC,Productos!A:A=B98),)"),"fabrica")</f>
        <v>fabrica</v>
      </c>
      <c r="I98" s="24" t="str">
        <f aca="false">IFERROR(__xludf.dummyfunction("""COMPUTED_VALUE"""),"")</f>
        <v/>
      </c>
      <c r="K98" s="0" t="e">
        <f aca="false">IF(D98,"{""sku"":"""&amp;B98&amp;""", ""costo"":"&amp;C98&amp;", ""grupo"":"""&amp;A98&amp;""", ""lote"":"&amp;D98&amp;", ""tiempo"":"&amp;E98&amp;", "&amp;F98&amp;", ""vencimiento"":"&amp;G98&amp;IF(I98,", ""precio"":"&amp;I98,)&amp;", ""tipo"":"""&amp;H98&amp;"""},",)</f>
        <v>#VALUE!</v>
      </c>
    </row>
    <row r="99" customFormat="false" ht="13" hidden="false" customHeight="false" outlineLevel="0" collapsed="false">
      <c r="A99" s="16" t="n">
        <v>2</v>
      </c>
      <c r="B99" s="0" t="n">
        <f aca="false">IFERROR(__xludf.dummyfunction("""COMPUTED_VALUE"""),1112)</f>
        <v>1112</v>
      </c>
      <c r="C99" s="24" t="n">
        <f aca="false">IFERROR(__xludf.dummyfunction("""COMPUTED_VALUE"""),10)</f>
        <v>10</v>
      </c>
      <c r="D99" s="0" t="n">
        <f aca="false">IFERROR(__xludf.dummyfunction("""COMPUTED_VALUE"""),20)</f>
        <v>20</v>
      </c>
      <c r="E99" s="0" t="n">
        <f aca="false">IFERROR(__xludf.dummyfunction("""COMPUTED_VALUE"""),10)</f>
        <v>10</v>
      </c>
      <c r="F99" s="0" t="str">
        <f aca="false">IFERROR(__xludf.dummyfunction("filter(Formulas!$C:$C,Formulas!$A:$A=B99)"),"""formula"":[{""sku"":""1012"",""req"":1}]")</f>
        <v>"formula":[{"sku":"1012","req":1}]</v>
      </c>
      <c r="G99" s="0" t="n">
        <f aca="false">IFERROR(__xludf.dummyfunction("""COMPUTED_VALUE"""),24)</f>
        <v>24</v>
      </c>
      <c r="H99" s="21" t="str">
        <f aca="false">IFERROR(__xludf.dummyfunction("IF(D99,filter(Productos!AC:AC,Productos!A:A=B99),)"),"fabrica")</f>
        <v>fabrica</v>
      </c>
      <c r="I99" s="24" t="str">
        <f aca="false">IFERROR(__xludf.dummyfunction("""COMPUTED_VALUE"""),"")</f>
        <v/>
      </c>
      <c r="K99" s="0" t="e">
        <f aca="false">IF(D99,"{""sku"":"""&amp;B99&amp;""", ""costo"":"&amp;C99&amp;", ""grupo"":"""&amp;A99&amp;""", ""lote"":"&amp;D99&amp;", ""tiempo"":"&amp;E99&amp;", "&amp;F99&amp;", ""vencimiento"":"&amp;G99&amp;IF(I99,", ""precio"":"&amp;I99,)&amp;", ""tipo"":"""&amp;H99&amp;"""},",)</f>
        <v>#VALUE!</v>
      </c>
    </row>
    <row r="100" customFormat="false" ht="13" hidden="false" customHeight="false" outlineLevel="0" collapsed="false">
      <c r="A100" s="16" t="n">
        <v>2</v>
      </c>
      <c r="B100" s="0" t="n">
        <f aca="false">IFERROR(__xludf.dummyfunction("""COMPUTED_VALUE"""),1114)</f>
        <v>1114</v>
      </c>
      <c r="C100" s="24" t="n">
        <f aca="false">IFERROR(__xludf.dummyfunction("""COMPUTED_VALUE"""),10)</f>
        <v>10</v>
      </c>
      <c r="D100" s="0" t="n">
        <f aca="false">IFERROR(__xludf.dummyfunction("""COMPUTED_VALUE"""),4)</f>
        <v>4</v>
      </c>
      <c r="E100" s="0" t="n">
        <f aca="false">IFERROR(__xludf.dummyfunction("""COMPUTED_VALUE"""),10)</f>
        <v>10</v>
      </c>
      <c r="F100" s="0" t="str">
        <f aca="false">IFERROR(__xludf.dummyfunction("filter(Formulas!$C:$C,Formulas!$A:$A=B100)"),"""formula"":[{""sku"":""1014"",""req"":1}]")</f>
        <v>"formula":[{"sku":"1014","req":1}]</v>
      </c>
      <c r="G100" s="0" t="n">
        <f aca="false">IFERROR(__xludf.dummyfunction("""COMPUTED_VALUE"""),2)</f>
        <v>2</v>
      </c>
      <c r="H100" s="21" t="str">
        <f aca="false">IFERROR(__xludf.dummyfunction("IF(D100,filter(Productos!AC:AC,Productos!A:A=B100),)"),"fabrica")</f>
        <v>fabrica</v>
      </c>
      <c r="I100" s="24" t="str">
        <f aca="false">IFERROR(__xludf.dummyfunction("""COMPUTED_VALUE"""),"")</f>
        <v/>
      </c>
      <c r="K100" s="0" t="e">
        <f aca="false">IF(D100,"{""sku"":"""&amp;B100&amp;""", ""costo"":"&amp;C100&amp;", ""grupo"":"""&amp;A100&amp;""", ""lote"":"&amp;D100&amp;", ""tiempo"":"&amp;E100&amp;", "&amp;F100&amp;", ""vencimiento"":"&amp;G100&amp;IF(I100,", ""precio"":"&amp;I100,)&amp;", ""tipo"":"""&amp;H100&amp;"""},",)</f>
        <v>#VALUE!</v>
      </c>
    </row>
    <row r="101" customFormat="false" ht="13" hidden="false" customHeight="false" outlineLevel="0" collapsed="false">
      <c r="A101" s="16" t="n">
        <v>2</v>
      </c>
      <c r="B101" s="0" t="n">
        <f aca="false">IFERROR(__xludf.dummyfunction("""COMPUTED_VALUE"""),1115)</f>
        <v>1115</v>
      </c>
      <c r="C101" s="24" t="n">
        <f aca="false">IFERROR(__xludf.dummyfunction("""COMPUTED_VALUE"""),10)</f>
        <v>10</v>
      </c>
      <c r="D101" s="0" t="n">
        <f aca="false">IFERROR(__xludf.dummyfunction("""COMPUTED_VALUE"""),8)</f>
        <v>8</v>
      </c>
      <c r="E101" s="0" t="n">
        <f aca="false">IFERROR(__xludf.dummyfunction("""COMPUTED_VALUE"""),10)</f>
        <v>10</v>
      </c>
      <c r="F101" s="0" t="str">
        <f aca="false">IFERROR(__xludf.dummyfunction("filter(Formulas!$C:$C,Formulas!$A:$A=B101)"),"""formula"":[{""sku"":""1015"",""req"":2}]")</f>
        <v>"formula":[{"sku":"1015","req":2}]</v>
      </c>
      <c r="G101" s="0" t="n">
        <f aca="false">IFERROR(__xludf.dummyfunction("""COMPUTED_VALUE"""),3)</f>
        <v>3</v>
      </c>
      <c r="H101" s="21" t="str">
        <f aca="false">IFERROR(__xludf.dummyfunction("IF(D101,filter(Productos!AC:AC,Productos!A:A=B101),)"),"fabrica")</f>
        <v>fabrica</v>
      </c>
      <c r="I101" s="24" t="str">
        <f aca="false">IFERROR(__xludf.dummyfunction("""COMPUTED_VALUE"""),"")</f>
        <v/>
      </c>
      <c r="K101" s="0" t="e">
        <f aca="false">IF(D101,"{""sku"":"""&amp;B101&amp;""", ""costo"":"&amp;C101&amp;", ""grupo"":"""&amp;A101&amp;""", ""lote"":"&amp;D101&amp;", ""tiempo"":"&amp;E101&amp;", "&amp;F101&amp;", ""vencimiento"":"&amp;G101&amp;IF(I101,", ""precio"":"&amp;I101,)&amp;", ""tipo"":"""&amp;H101&amp;"""},",)</f>
        <v>#VALUE!</v>
      </c>
    </row>
    <row r="102" customFormat="false" ht="13" hidden="false" customHeight="false" outlineLevel="0" collapsed="false">
      <c r="A102" s="16" t="n">
        <v>2</v>
      </c>
      <c r="B102" s="0" t="n">
        <f aca="false">IFERROR(__xludf.dummyfunction("""COMPUTED_VALUE"""),1116)</f>
        <v>1116</v>
      </c>
      <c r="C102" s="24" t="n">
        <f aca="false">IFERROR(__xludf.dummyfunction("""COMPUTED_VALUE"""),10)</f>
        <v>10</v>
      </c>
      <c r="D102" s="0" t="n">
        <f aca="false">IFERROR(__xludf.dummyfunction("""COMPUTED_VALUE"""),10)</f>
        <v>10</v>
      </c>
      <c r="E102" s="0" t="n">
        <f aca="false">IFERROR(__xludf.dummyfunction("""COMPUTED_VALUE"""),40)</f>
        <v>40</v>
      </c>
      <c r="F102" s="0" t="str">
        <f aca="false">IFERROR(__xludf.dummyfunction("filter(Formulas!$C:$C,Formulas!$A:$A=B102)"),"""formula"":[{""sku"":""1016"",""req"":11}]")</f>
        <v>"formula":[{"sku":"1016","req":11}]</v>
      </c>
      <c r="G102" s="0" t="n">
        <f aca="false">IFERROR(__xludf.dummyfunction("""COMPUTED_VALUE"""),24)</f>
        <v>24</v>
      </c>
      <c r="H102" s="21" t="str">
        <f aca="false">IFERROR(__xludf.dummyfunction("IF(D102,filter(Productos!AC:AC,Productos!A:A=B102),)"),"fabrica")</f>
        <v>fabrica</v>
      </c>
      <c r="I102" s="0" t="str">
        <f aca="false">IFERROR(__xludf.dummyfunction("""COMPUTED_VALUE"""),"")</f>
        <v/>
      </c>
      <c r="K102" s="0" t="e">
        <f aca="false">IF(D102,"{""sku"":"""&amp;B102&amp;""", ""costo"":"&amp;C102&amp;", ""grupo"":"""&amp;A102&amp;""", ""lote"":"&amp;D102&amp;", ""tiempo"":"&amp;E102&amp;", "&amp;F102&amp;", ""vencimiento"":"&amp;G102&amp;IF(I102,", ""precio"":"&amp;I102,)&amp;", ""tipo"":"""&amp;H102&amp;"""},",)</f>
        <v>#VALUE!</v>
      </c>
    </row>
    <row r="103" customFormat="false" ht="13" hidden="false" customHeight="false" outlineLevel="0" collapsed="false">
      <c r="A103" s="16" t="n">
        <v>2</v>
      </c>
      <c r="B103" s="0" t="n">
        <f aca="false">IFERROR(__xludf.dummyfunction("""COMPUTED_VALUE"""),1201)</f>
        <v>1201</v>
      </c>
      <c r="C103" s="24" t="n">
        <f aca="false">IFERROR(__xludf.dummyfunction("""COMPUTED_VALUE"""),10)</f>
        <v>10</v>
      </c>
      <c r="D103" s="0" t="n">
        <f aca="false">IFERROR(__xludf.dummyfunction("""COMPUTED_VALUE"""),10)</f>
        <v>10</v>
      </c>
      <c r="E103" s="0" t="n">
        <f aca="false">IFERROR(__xludf.dummyfunction("""COMPUTED_VALUE"""),10)</f>
        <v>10</v>
      </c>
      <c r="F103" s="0" t="str">
        <f aca="false">IFERROR(__xludf.dummyfunction("filter(Formulas!$C:$C,Formulas!$A:$A=B103)"),"""formula"":[{""sku"":""1101"",""req"":1}]")</f>
        <v>"formula":[{"sku":"1101","req":1}]</v>
      </c>
      <c r="G103" s="0" t="n">
        <f aca="false">IFERROR(__xludf.dummyfunction("""COMPUTED_VALUE"""),2)</f>
        <v>2</v>
      </c>
      <c r="H103" s="21" t="str">
        <f aca="false">IFERROR(__xludf.dummyfunction("IF(D103,filter(Productos!AC:AC,Productos!A:A=B103),)"),"fabrica")</f>
        <v>fabrica</v>
      </c>
      <c r="I103" s="24" t="str">
        <f aca="false">IFERROR(__xludf.dummyfunction("""COMPUTED_VALUE"""),"")</f>
        <v/>
      </c>
      <c r="K103" s="0" t="e">
        <f aca="false">IF(D103,"{""sku"":"""&amp;B103&amp;""", ""costo"":"&amp;C103&amp;", ""grupo"":"""&amp;A103&amp;""", ""lote"":"&amp;D103&amp;", ""tiempo"":"&amp;E103&amp;", "&amp;F103&amp;", ""vencimiento"":"&amp;G103&amp;IF(I103,", ""precio"":"&amp;I103,)&amp;", ""tipo"":"""&amp;H103&amp;"""},",)</f>
        <v>#VALUE!</v>
      </c>
    </row>
    <row r="104" customFormat="false" ht="13" hidden="false" customHeight="false" outlineLevel="0" collapsed="false">
      <c r="A104" s="16" t="n">
        <v>2</v>
      </c>
      <c r="B104" s="0" t="n">
        <f aca="false">IFERROR(__xludf.dummyfunction("""COMPUTED_VALUE"""),1207)</f>
        <v>1207</v>
      </c>
      <c r="C104" s="24" t="n">
        <f aca="false">IFERROR(__xludf.dummyfunction("""COMPUTED_VALUE"""),30)</f>
        <v>30</v>
      </c>
      <c r="D104" s="0" t="n">
        <f aca="false">IFERROR(__xludf.dummyfunction("""COMPUTED_VALUE"""),12)</f>
        <v>12</v>
      </c>
      <c r="E104" s="0" t="n">
        <f aca="false">IFERROR(__xludf.dummyfunction("""COMPUTED_VALUE"""),20)</f>
        <v>20</v>
      </c>
      <c r="F104" s="0" t="str">
        <f aca="false">IFERROR(__xludf.dummyfunction("filter(Formulas!$C:$C,Formulas!$A:$A=B104)"),"""formula"":[{""sku"":""1007"",""req"":1}]")</f>
        <v>"formula":[{"sku":"1007","req":1}]</v>
      </c>
      <c r="G104" s="0" t="n">
        <f aca="false">IFERROR(__xludf.dummyfunction("""COMPUTED_VALUE"""),2)</f>
        <v>2</v>
      </c>
      <c r="H104" s="21" t="str">
        <f aca="false">IFERROR(__xludf.dummyfunction("IF(D104,filter(Productos!AC:AC,Productos!A:A=B104),)"),"fabrica")</f>
        <v>fabrica</v>
      </c>
      <c r="I104" s="24" t="str">
        <f aca="false">IFERROR(__xludf.dummyfunction("""COMPUTED_VALUE"""),"")</f>
        <v/>
      </c>
      <c r="K104" s="0" t="e">
        <f aca="false">IF(D104,"{""sku"":"""&amp;B104&amp;""", ""costo"":"&amp;C104&amp;", ""grupo"":"""&amp;A104&amp;""", ""lote"":"&amp;D104&amp;", ""tiempo"":"&amp;E104&amp;", "&amp;F104&amp;", ""vencimiento"":"&amp;G104&amp;IF(I104,", ""precio"":"&amp;I104,)&amp;", ""tipo"":"""&amp;H104&amp;"""},",)</f>
        <v>#VALUE!</v>
      </c>
    </row>
    <row r="105" customFormat="false" ht="13" hidden="false" customHeight="false" outlineLevel="0" collapsed="false">
      <c r="A105" s="16" t="n">
        <v>2</v>
      </c>
      <c r="B105" s="0" t="n">
        <f aca="false">IFERROR(__xludf.dummyfunction("""COMPUTED_VALUE"""),1209)</f>
        <v>1209</v>
      </c>
      <c r="C105" s="24" t="n">
        <f aca="false">IFERROR(__xludf.dummyfunction("""COMPUTED_VALUE"""),30)</f>
        <v>30</v>
      </c>
      <c r="D105" s="0" t="n">
        <f aca="false">IFERROR(__xludf.dummyfunction("""COMPUTED_VALUE"""),14)</f>
        <v>14</v>
      </c>
      <c r="E105" s="0" t="n">
        <f aca="false">IFERROR(__xludf.dummyfunction("""COMPUTED_VALUE"""),30)</f>
        <v>30</v>
      </c>
      <c r="F105" s="0" t="str">
        <f aca="false">IFERROR(__xludf.dummyfunction("filter(Formulas!$C:$C,Formulas!$A:$A=B105)"),"""formula"":[{""sku"":""1009"",""req"":1}]")</f>
        <v>"formula":[{"sku":"1009","req":1}]</v>
      </c>
      <c r="G105" s="0" t="n">
        <f aca="false">IFERROR(__xludf.dummyfunction("""COMPUTED_VALUE"""),1.5)</f>
        <v>1.5</v>
      </c>
      <c r="H105" s="21" t="str">
        <f aca="false">IFERROR(__xludf.dummyfunction("IF(D105,filter(Productos!AC:AC,Productos!A:A=B105),)"),"fabrica")</f>
        <v>fabrica</v>
      </c>
      <c r="I105" s="24" t="str">
        <f aca="false">IFERROR(__xludf.dummyfunction("""COMPUTED_VALUE"""),"")</f>
        <v/>
      </c>
      <c r="K105" s="0" t="e">
        <f aca="false">IF(D105,"{""sku"":"""&amp;B105&amp;""", ""costo"":"&amp;C105&amp;", ""grupo"":"""&amp;A105&amp;""", ""lote"":"&amp;D105&amp;", ""tiempo"":"&amp;E105&amp;", "&amp;F105&amp;", ""vencimiento"":"&amp;G105&amp;IF(I105,", ""precio"":"&amp;I105,)&amp;", ""tipo"":"""&amp;H105&amp;"""},",)</f>
        <v>#VALUE!</v>
      </c>
    </row>
    <row r="106" customFormat="false" ht="13" hidden="false" customHeight="false" outlineLevel="0" collapsed="false">
      <c r="A106" s="16" t="n">
        <v>2</v>
      </c>
      <c r="B106" s="0" t="n">
        <f aca="false">IFERROR(__xludf.dummyfunction("""COMPUTED_VALUE"""),1210)</f>
        <v>1210</v>
      </c>
      <c r="C106" s="24" t="n">
        <f aca="false">IFERROR(__xludf.dummyfunction("""COMPUTED_VALUE"""),10)</f>
        <v>10</v>
      </c>
      <c r="D106" s="0" t="n">
        <f aca="false">IFERROR(__xludf.dummyfunction("""COMPUTED_VALUE"""),9)</f>
        <v>9</v>
      </c>
      <c r="E106" s="0" t="n">
        <f aca="false">IFERROR(__xludf.dummyfunction("""COMPUTED_VALUE"""),10)</f>
        <v>10</v>
      </c>
      <c r="F106" s="0" t="str">
        <f aca="false">IFERROR(__xludf.dummyfunction("filter(Formulas!$C:$C,Formulas!$A:$A=B106)"),"""formula"":[{""sku"":""1010"",""req"":1}]")</f>
        <v>"formula":[{"sku":"1010","req":1}]</v>
      </c>
      <c r="G106" s="0" t="n">
        <f aca="false">IFERROR(__xludf.dummyfunction("""COMPUTED_VALUE"""),2.3)</f>
        <v>2.3</v>
      </c>
      <c r="H106" s="21" t="str">
        <f aca="false">IFERROR(__xludf.dummyfunction("IF(D106,filter(Productos!AC:AC,Productos!A:A=B106),)"),"fabrica")</f>
        <v>fabrica</v>
      </c>
      <c r="I106" s="24" t="str">
        <f aca="false">IFERROR(__xludf.dummyfunction("""COMPUTED_VALUE"""),"")</f>
        <v/>
      </c>
      <c r="K106" s="0" t="e">
        <f aca="false">IF(D106,"{""sku"":"""&amp;B106&amp;""", ""costo"":"&amp;C106&amp;", ""grupo"":"""&amp;A106&amp;""", ""lote"":"&amp;D106&amp;", ""tiempo"":"&amp;E106&amp;", "&amp;F106&amp;", ""vencimiento"":"&amp;G106&amp;IF(I106,", ""precio"":"&amp;I106,)&amp;", ""tipo"":"""&amp;H106&amp;"""},",)</f>
        <v>#VALUE!</v>
      </c>
    </row>
    <row r="107" customFormat="false" ht="13" hidden="false" customHeight="false" outlineLevel="0" collapsed="false">
      <c r="A107" s="16" t="n">
        <v>2</v>
      </c>
      <c r="B107" s="0" t="n">
        <f aca="false">IFERROR(__xludf.dummyfunction("""COMPUTED_VALUE"""),1211)</f>
        <v>1211</v>
      </c>
      <c r="C107" s="24" t="n">
        <f aca="false">IFERROR(__xludf.dummyfunction("""COMPUTED_VALUE"""),10)</f>
        <v>10</v>
      </c>
      <c r="D107" s="0" t="n">
        <f aca="false">IFERROR(__xludf.dummyfunction("""COMPUTED_VALUE"""),10)</f>
        <v>10</v>
      </c>
      <c r="E107" s="0" t="n">
        <f aca="false">IFERROR(__xludf.dummyfunction("""COMPUTED_VALUE"""),10)</f>
        <v>10</v>
      </c>
      <c r="F107" s="0" t="str">
        <f aca="false">IFERROR(__xludf.dummyfunction("filter(Formulas!$C:$C,Formulas!$A:$A=B107)"),"""formula"":[{""sku"":""1111"",""req"":1}]")</f>
        <v>"formula":[{"sku":"1111","req":1}]</v>
      </c>
      <c r="G107" s="0" t="n">
        <f aca="false">IFERROR(__xludf.dummyfunction("""COMPUTED_VALUE"""),12)</f>
        <v>12</v>
      </c>
      <c r="H107" s="21" t="str">
        <f aca="false">IFERROR(__xludf.dummyfunction("IF(D107,filter(Productos!AC:AC,Productos!A:A=B107),)"),"fabrica")</f>
        <v>fabrica</v>
      </c>
      <c r="I107" s="24" t="str">
        <f aca="false">IFERROR(__xludf.dummyfunction("""COMPUTED_VALUE"""),"")</f>
        <v/>
      </c>
      <c r="K107" s="0" t="e">
        <f aca="false">IF(D107,"{""sku"":"""&amp;B107&amp;""", ""costo"":"&amp;C107&amp;", ""grupo"":"""&amp;A107&amp;""", ""lote"":"&amp;D107&amp;", ""tiempo"":"&amp;E107&amp;", "&amp;F107&amp;", ""vencimiento"":"&amp;G107&amp;IF(I107,", ""precio"":"&amp;I107,)&amp;", ""tipo"":"""&amp;H107&amp;"""},",)</f>
        <v>#VALUE!</v>
      </c>
    </row>
    <row r="108" customFormat="false" ht="13" hidden="false" customHeight="false" outlineLevel="0" collapsed="false">
      <c r="A108" s="16" t="n">
        <v>2</v>
      </c>
      <c r="B108" s="0" t="n">
        <f aca="false">IFERROR(__xludf.dummyfunction("""COMPUTED_VALUE"""),1215)</f>
        <v>1215</v>
      </c>
      <c r="C108" s="24" t="n">
        <f aca="false">IFERROR(__xludf.dummyfunction("""COMPUTED_VALUE"""),0)</f>
        <v>0</v>
      </c>
      <c r="D108" s="0" t="n">
        <f aca="false">IFERROR(__xludf.dummyfunction("""COMPUTED_VALUE"""),8)</f>
        <v>8</v>
      </c>
      <c r="E108" s="0" t="n">
        <f aca="false">IFERROR(__xludf.dummyfunction("""COMPUTED_VALUE"""),10)</f>
        <v>10</v>
      </c>
      <c r="F108" s="0" t="str">
        <f aca="false">IFERROR(__xludf.dummyfunction("filter(Formulas!$C:$C,Formulas!$A:$A=B108)"),"""formula"":[{""sku"":""1015"",""req"":4}]")</f>
        <v>"formula":[{"sku":"1015","req":4}]</v>
      </c>
      <c r="G108" s="0" t="n">
        <f aca="false">IFERROR(__xludf.dummyfunction("""COMPUTED_VALUE"""),3)</f>
        <v>3</v>
      </c>
      <c r="H108" s="21" t="str">
        <f aca="false">IFERROR(__xludf.dummyfunction("IF(D108,filter(Productos!AC:AC,Productos!A:A=B108),)"),"fabrica")</f>
        <v>fabrica</v>
      </c>
      <c r="I108" s="24" t="str">
        <f aca="false">IFERROR(__xludf.dummyfunction("""COMPUTED_VALUE"""),"")</f>
        <v/>
      </c>
      <c r="K108" s="0" t="e">
        <f aca="false">IF(D108,"{""sku"":"""&amp;B108&amp;""", ""costo"":"&amp;C108&amp;", ""grupo"":"""&amp;A108&amp;""", ""lote"":"&amp;D108&amp;", ""tiempo"":"&amp;E108&amp;", "&amp;F108&amp;", ""vencimiento"":"&amp;G108&amp;IF(I108,", ""precio"":"&amp;I108,)&amp;", ""tipo"":"""&amp;H108&amp;"""},",)</f>
        <v>#VALUE!</v>
      </c>
    </row>
    <row r="109" customFormat="false" ht="13" hidden="false" customHeight="false" outlineLevel="0" collapsed="false">
      <c r="A109" s="16" t="n">
        <v>2</v>
      </c>
      <c r="B109" s="0" t="n">
        <f aca="false">IFERROR(__xludf.dummyfunction("""COMPUTED_VALUE"""),1216)</f>
        <v>1216</v>
      </c>
      <c r="C109" s="24" t="n">
        <f aca="false">IFERROR(__xludf.dummyfunction("""COMPUTED_VALUE"""),10)</f>
        <v>10</v>
      </c>
      <c r="D109" s="0" t="n">
        <f aca="false">IFERROR(__xludf.dummyfunction("""COMPUTED_VALUE"""),10)</f>
        <v>10</v>
      </c>
      <c r="E109" s="0" t="n">
        <f aca="false">IFERROR(__xludf.dummyfunction("""COMPUTED_VALUE"""),30)</f>
        <v>30</v>
      </c>
      <c r="F109" s="0" t="str">
        <f aca="false">IFERROR(__xludf.dummyfunction("filter(Formulas!$C:$C,Formulas!$A:$A=B109)"),"""formula"":[{""sku"":""1016"",""req"":2}]")</f>
        <v>"formula":[{"sku":"1016","req":2}]</v>
      </c>
      <c r="G109" s="0" t="n">
        <f aca="false">IFERROR(__xludf.dummyfunction("""COMPUTED_VALUE"""),24)</f>
        <v>24</v>
      </c>
      <c r="H109" s="21" t="str">
        <f aca="false">IFERROR(__xludf.dummyfunction("IF(D109,filter(Productos!AC:AC,Productos!A:A=B109),)"),"fabrica")</f>
        <v>fabrica</v>
      </c>
      <c r="I109" s="0" t="str">
        <f aca="false">IFERROR(__xludf.dummyfunction("""COMPUTED_VALUE"""),"")</f>
        <v/>
      </c>
      <c r="K109" s="0" t="e">
        <f aca="false">IF(D109,"{""sku"":"""&amp;B109&amp;""", ""costo"":"&amp;C109&amp;", ""grupo"":"""&amp;A109&amp;""", ""lote"":"&amp;D109&amp;", ""tiempo"":"&amp;E109&amp;", "&amp;F109&amp;", ""vencimiento"":"&amp;G109&amp;IF(I109,", ""precio"":"&amp;I109,)&amp;", ""tipo"":"""&amp;H109&amp;"""},",)</f>
        <v>#VALUE!</v>
      </c>
    </row>
    <row r="110" customFormat="false" ht="13" hidden="false" customHeight="false" outlineLevel="0" collapsed="false">
      <c r="A110" s="16" t="n">
        <v>2</v>
      </c>
      <c r="B110" s="0" t="n">
        <f aca="false">IFERROR(__xludf.dummyfunction("""COMPUTED_VALUE"""),1301)</f>
        <v>1301</v>
      </c>
      <c r="C110" s="24" t="n">
        <f aca="false">IFERROR(__xludf.dummyfunction("""COMPUTED_VALUE"""),10)</f>
        <v>10</v>
      </c>
      <c r="D110" s="0" t="n">
        <f aca="false">IFERROR(__xludf.dummyfunction("""COMPUTED_VALUE"""),5)</f>
        <v>5</v>
      </c>
      <c r="E110" s="0" t="n">
        <f aca="false">IFERROR(__xludf.dummyfunction("""COMPUTED_VALUE"""),10)</f>
        <v>10</v>
      </c>
      <c r="F110" s="0" t="str">
        <f aca="false">IFERROR(__xludf.dummyfunction("filter(Formulas!$C:$C,Formulas!$A:$A=B110)"),"""formula"":[{""sku"":""1101"",""req"":1}]")</f>
        <v>"formula":[{"sku":"1101","req":1}]</v>
      </c>
      <c r="G110" s="0" t="n">
        <f aca="false">IFERROR(__xludf.dummyfunction("""COMPUTED_VALUE"""),2)</f>
        <v>2</v>
      </c>
      <c r="H110" s="21" t="str">
        <f aca="false">IFERROR(__xludf.dummyfunction("IF(D110,filter(Productos!AC:AC,Productos!A:A=B110),)"),"fabrica")</f>
        <v>fabrica</v>
      </c>
      <c r="I110" s="24" t="str">
        <f aca="false">IFERROR(__xludf.dummyfunction("""COMPUTED_VALUE"""),"")</f>
        <v/>
      </c>
      <c r="K110" s="0" t="e">
        <f aca="false">IF(D110,"{""sku"":"""&amp;B110&amp;""", ""costo"":"&amp;C110&amp;", ""grupo"":"""&amp;A110&amp;""", ""lote"":"&amp;D110&amp;", ""tiempo"":"&amp;E110&amp;", "&amp;F110&amp;", ""vencimiento"":"&amp;G110&amp;IF(I110,", ""precio"":"&amp;I110,)&amp;", ""tipo"":"""&amp;H110&amp;"""},",)</f>
        <v>#VALUE!</v>
      </c>
    </row>
    <row r="111" customFormat="false" ht="13" hidden="false" customHeight="false" outlineLevel="0" collapsed="false">
      <c r="A111" s="16" t="n">
        <v>2</v>
      </c>
      <c r="B111" s="0" t="n">
        <f aca="false">IFERROR(__xludf.dummyfunction("""COMPUTED_VALUE"""),1307)</f>
        <v>1307</v>
      </c>
      <c r="C111" s="24" t="n">
        <f aca="false">IFERROR(__xludf.dummyfunction("""COMPUTED_VALUE"""),50)</f>
        <v>50</v>
      </c>
      <c r="D111" s="0" t="n">
        <f aca="false">IFERROR(__xludf.dummyfunction("""COMPUTED_VALUE"""),11)</f>
        <v>11</v>
      </c>
      <c r="E111" s="0" t="n">
        <f aca="false">IFERROR(__xludf.dummyfunction("""COMPUTED_VALUE"""),30)</f>
        <v>30</v>
      </c>
      <c r="F111" s="0" t="str">
        <f aca="false">IFERROR(__xludf.dummyfunction("filter(Formulas!$C:$C,Formulas!$A:$A=B111)"),"""formula"":[{""sku"":""1007"",""req"":1}]")</f>
        <v>"formula":[{"sku":"1007","req":1}]</v>
      </c>
      <c r="G111" s="0" t="n">
        <f aca="false">IFERROR(__xludf.dummyfunction("""COMPUTED_VALUE"""),1.2)</f>
        <v>1.2</v>
      </c>
      <c r="H111" s="21" t="str">
        <f aca="false">IFERROR(__xludf.dummyfunction("IF(D111,filter(Productos!AC:AC,Productos!A:A=B111),)"),"fabrica")</f>
        <v>fabrica</v>
      </c>
      <c r="I111" s="24" t="str">
        <f aca="false">IFERROR(__xludf.dummyfunction("""COMPUTED_VALUE"""),"")</f>
        <v/>
      </c>
      <c r="K111" s="0" t="e">
        <f aca="false">IF(D111,"{""sku"":"""&amp;B111&amp;""", ""costo"":"&amp;C111&amp;", ""grupo"":"""&amp;A111&amp;""", ""lote"":"&amp;D111&amp;", ""tiempo"":"&amp;E111&amp;", "&amp;F111&amp;", ""vencimiento"":"&amp;G111&amp;IF(I111,", ""precio"":"&amp;I111,)&amp;", ""tipo"":"""&amp;H111&amp;"""},",)</f>
        <v>#VALUE!</v>
      </c>
    </row>
    <row r="112" customFormat="false" ht="13" hidden="false" customHeight="false" outlineLevel="0" collapsed="false">
      <c r="A112" s="16" t="n">
        <v>2</v>
      </c>
      <c r="B112" s="0" t="n">
        <f aca="false">IFERROR(__xludf.dummyfunction("""COMPUTED_VALUE"""),1309)</f>
        <v>1309</v>
      </c>
      <c r="C112" s="24" t="n">
        <f aca="false">IFERROR(__xludf.dummyfunction("""COMPUTED_VALUE"""),50)</f>
        <v>50</v>
      </c>
      <c r="D112" s="0" t="n">
        <f aca="false">IFERROR(__xludf.dummyfunction("""COMPUTED_VALUE"""),11)</f>
        <v>11</v>
      </c>
      <c r="E112" s="0" t="n">
        <f aca="false">IFERROR(__xludf.dummyfunction("""COMPUTED_VALUE"""),50)</f>
        <v>50</v>
      </c>
      <c r="F112" s="0" t="str">
        <f aca="false">IFERROR(__xludf.dummyfunction("filter(Formulas!$C:$C,Formulas!$A:$A=B112)"),"""formula"":[{""sku"":""1009"",""req"":1}]")</f>
        <v>"formula":[{"sku":"1009","req":1}]</v>
      </c>
      <c r="G112" s="0" t="n">
        <f aca="false">IFERROR(__xludf.dummyfunction("""COMPUTED_VALUE"""),1.2)</f>
        <v>1.2</v>
      </c>
      <c r="H112" s="21" t="str">
        <f aca="false">IFERROR(__xludf.dummyfunction("IF(D112,filter(Productos!AC:AC,Productos!A:A=B112),)"),"fabrica")</f>
        <v>fabrica</v>
      </c>
      <c r="I112" s="24" t="str">
        <f aca="false">IFERROR(__xludf.dummyfunction("""COMPUTED_VALUE"""),"")</f>
        <v/>
      </c>
      <c r="K112" s="0" t="e">
        <f aca="false">IF(D112,"{""sku"":"""&amp;B112&amp;""", ""costo"":"&amp;C112&amp;", ""grupo"":"""&amp;A112&amp;""", ""lote"":"&amp;D112&amp;", ""tiempo"":"&amp;E112&amp;", "&amp;F112&amp;", ""vencimiento"":"&amp;G112&amp;IF(I112,", ""precio"":"&amp;I112,)&amp;", ""tipo"":"""&amp;H112&amp;"""},",)</f>
        <v>#VALUE!</v>
      </c>
    </row>
    <row r="113" customFormat="false" ht="13" hidden="false" customHeight="false" outlineLevel="0" collapsed="false">
      <c r="A113" s="16" t="n">
        <v>2</v>
      </c>
      <c r="B113" s="0" t="n">
        <f aca="false">IFERROR(__xludf.dummyfunction("""COMPUTED_VALUE"""),1310)</f>
        <v>1310</v>
      </c>
      <c r="C113" s="24" t="n">
        <f aca="false">IFERROR(__xludf.dummyfunction("""COMPUTED_VALUE"""),10)</f>
        <v>10</v>
      </c>
      <c r="D113" s="0" t="n">
        <f aca="false">IFERROR(__xludf.dummyfunction("""COMPUTED_VALUE"""),12)</f>
        <v>12</v>
      </c>
      <c r="E113" s="0" t="n">
        <f aca="false">IFERROR(__xludf.dummyfunction("""COMPUTED_VALUE"""),10)</f>
        <v>10</v>
      </c>
      <c r="F113" s="0" t="str">
        <f aca="false">IFERROR(__xludf.dummyfunction("filter(Formulas!$C:$C,Formulas!$A:$A=B113)"),"""formula"":[{""sku"":""1010"",""req"":1}]")</f>
        <v>"formula":[{"sku":"1010","req":1}]</v>
      </c>
      <c r="G113" s="0" t="n">
        <f aca="false">IFERROR(__xludf.dummyfunction("""COMPUTED_VALUE"""),2)</f>
        <v>2</v>
      </c>
      <c r="H113" s="21" t="str">
        <f aca="false">IFERROR(__xludf.dummyfunction("IF(D113,filter(Productos!AC:AC,Productos!A:A=B113),)"),"fabrica")</f>
        <v>fabrica</v>
      </c>
      <c r="I113" s="24" t="str">
        <f aca="false">IFERROR(__xludf.dummyfunction("""COMPUTED_VALUE"""),"")</f>
        <v/>
      </c>
      <c r="K113" s="0" t="e">
        <f aca="false">IF(D113,"{""sku"":"""&amp;B113&amp;""", ""costo"":"&amp;C113&amp;", ""grupo"":"""&amp;A113&amp;""", ""lote"":"&amp;D113&amp;", ""tiempo"":"&amp;E113&amp;", "&amp;F113&amp;", ""vencimiento"":"&amp;G113&amp;IF(I113,", ""precio"":"&amp;I113,)&amp;", ""tipo"":"""&amp;H113&amp;"""},",)</f>
        <v>#VALUE!</v>
      </c>
    </row>
    <row r="114" customFormat="false" ht="13" hidden="false" customHeight="false" outlineLevel="0" collapsed="false">
      <c r="A114" s="16" t="n">
        <v>2</v>
      </c>
      <c r="B114" s="0" t="n">
        <f aca="false">IFERROR(__xludf.dummyfunction("""COMPUTED_VALUE"""),1407)</f>
        <v>1407</v>
      </c>
      <c r="C114" s="24" t="n">
        <f aca="false">IFERROR(__xludf.dummyfunction("""COMPUTED_VALUE"""),10)</f>
        <v>10</v>
      </c>
      <c r="D114" s="0" t="n">
        <f aca="false">IFERROR(__xludf.dummyfunction("""COMPUTED_VALUE"""),14)</f>
        <v>14</v>
      </c>
      <c r="E114" s="0" t="n">
        <f aca="false">IFERROR(__xludf.dummyfunction("""COMPUTED_VALUE"""),30)</f>
        <v>30</v>
      </c>
      <c r="F114" s="0" t="str">
        <f aca="false">IFERROR(__xludf.dummyfunction("filter(Formulas!$C:$C,Formulas!$A:$A=B114)"),"""formula"":[{""sku"":""1007"",""req"":1}]")</f>
        <v>"formula":[{"sku":"1007","req":1}]</v>
      </c>
      <c r="G114" s="0" t="n">
        <f aca="false">IFERROR(__xludf.dummyfunction("""COMPUTED_VALUE"""),2)</f>
        <v>2</v>
      </c>
      <c r="H114" s="21" t="str">
        <f aca="false">IFERROR(__xludf.dummyfunction("IF(D114,filter(Productos!AC:AC,Productos!A:A=B114),)"),"fabrica")</f>
        <v>fabrica</v>
      </c>
      <c r="I114" s="24" t="str">
        <f aca="false">IFERROR(__xludf.dummyfunction("""COMPUTED_VALUE"""),"")</f>
        <v/>
      </c>
      <c r="K114" s="0" t="e">
        <f aca="false">IF(D114,"{""sku"":"""&amp;B114&amp;""", ""costo"":"&amp;C114&amp;", ""grupo"":"""&amp;A114&amp;""", ""lote"":"&amp;D114&amp;", ""tiempo"":"&amp;E114&amp;", "&amp;F114&amp;", ""vencimiento"":"&amp;G114&amp;IF(I114,", ""precio"":"&amp;I114,)&amp;", ""tipo"":"""&amp;H114&amp;"""},",)</f>
        <v>#VALUE!</v>
      </c>
    </row>
    <row r="115" customFormat="false" ht="13" hidden="false" customHeight="false" outlineLevel="0" collapsed="false">
      <c r="A115" s="16" t="n">
        <v>2</v>
      </c>
      <c r="B115" s="0" t="n">
        <f aca="false">IFERROR(__xludf.dummyfunction("""COMPUTED_VALUE"""),10001)</f>
        <v>10001</v>
      </c>
      <c r="C115" s="24" t="n">
        <f aca="false">IFERROR(__xludf.dummyfunction("""COMPUTED_VALUE"""),10)</f>
        <v>10</v>
      </c>
      <c r="D115" s="0" t="n">
        <f aca="false">IFERROR(__xludf.dummyfunction("""COMPUTED_VALUE"""),1)</f>
        <v>1</v>
      </c>
      <c r="E115" s="0" t="n">
        <f aca="false">IFERROR(__xludf.dummyfunction("""COMPUTED_VALUE"""),10)</f>
        <v>10</v>
      </c>
      <c r="F115" s="0" t="str">
        <f aca="false">IFERROR(__xludf.dummyfunction("filter(Formulas!$C:$C,Formulas!$A:$A=B115)"),"""formula"":[{""sku"":""1201"",""req"":1},{""sku"":""1105"",""req"":1},{""sku"":""1210"",""req"":1},{""sku"":""1211"",""req"":1},{""sku"":""1116"",""req"":1}]")</f>
        <v>"formula":[{"sku":"1201","req":1},{"sku":"1105","req":1},{"sku":"1210","req":1},{"sku":"1211","req":1},{"sku":"1116","req":1}]</v>
      </c>
      <c r="G115" s="0" t="n">
        <f aca="false">IFERROR(__xludf.dummyfunction("""COMPUTED_VALUE"""),1)</f>
        <v>1</v>
      </c>
      <c r="H115" s="21" t="str">
        <f aca="false">IFERROR(__xludf.dummyfunction("IF(D115,filter(Productos!AC:AC,Productos!A:A=B115),)"),"cocina")</f>
        <v>cocina</v>
      </c>
      <c r="I115" s="24" t="n">
        <f aca="false">IFERROR(__xludf.dummyfunction("""COMPUTED_VALUE"""),4500)</f>
        <v>4500</v>
      </c>
      <c r="K115" s="0" t="str">
        <f aca="false">IF(D115,"{""sku"":"""&amp;B115&amp;""", ""costo"":"&amp;C115&amp;", ""grupo"":"""&amp;A115&amp;""", ""lote"":"&amp;D115&amp;", ""tiempo"":"&amp;E115&amp;", "&amp;F115&amp;", ""vencimiento"":"&amp;G115&amp;IF(I115,", ""precio"":"&amp;I115,)&amp;", ""tipo"":"""&amp;H115&amp;"""},",)</f>
        <v>{"sku":"10001", "costo":10, "grupo":"2", "lote":1, "tiempo":10, "formula":[{"sku":"1201","req":1},{"sku":"1105","req":1},{"sku":"1210","req":1},{"sku":"1211","req":1},{"sku":"1116","req":1}], "vencimiento":1, "precio":4500, "tipo":"cocina"},</v>
      </c>
    </row>
    <row r="116" customFormat="false" ht="13" hidden="false" customHeight="false" outlineLevel="0" collapsed="false">
      <c r="A116" s="16" t="n">
        <v>2</v>
      </c>
      <c r="B116" s="0" t="n">
        <f aca="false">IFERROR(__xludf.dummyfunction("""COMPUTED_VALUE"""),10002)</f>
        <v>10002</v>
      </c>
      <c r="C116" s="24" t="n">
        <f aca="false">IFERROR(__xludf.dummyfunction("""COMPUTED_VALUE"""),10)</f>
        <v>10</v>
      </c>
      <c r="D116" s="0" t="n">
        <f aca="false">IFERROR(__xludf.dummyfunction("""COMPUTED_VALUE"""),1)</f>
        <v>1</v>
      </c>
      <c r="E116" s="0" t="n">
        <f aca="false">IFERROR(__xludf.dummyfunction("""COMPUTED_VALUE"""),20)</f>
        <v>20</v>
      </c>
      <c r="F116" s="0" t="str">
        <f aca="false">IFERROR(__xludf.dummyfunction("filter(Formulas!$C:$C,Formulas!$A:$A=B116)"),"""formula"":[{""sku"":""1201"",""req"":1},{""sku"":""1105"",""req"":1},{""sku"":""1013"",""req"":5},{""sku"":""1210"",""req"":1},{""sku"":""1116"",""req"":1}]")</f>
        <v>"formula":[{"sku":"1201","req":1},{"sku":"1105","req":1},{"sku":"1013","req":5},{"sku":"1210","req":1},{"sku":"1116","req":1}]</v>
      </c>
      <c r="G116" s="0" t="n">
        <f aca="false">IFERROR(__xludf.dummyfunction("""COMPUTED_VALUE"""),1)</f>
        <v>1</v>
      </c>
      <c r="H116" s="21" t="str">
        <f aca="false">IFERROR(__xludf.dummyfunction("IF(D116,filter(Productos!AC:AC,Productos!A:A=B116),)"),"cocina")</f>
        <v>cocina</v>
      </c>
      <c r="I116" s="24" t="n">
        <f aca="false">IFERROR(__xludf.dummyfunction("""COMPUTED_VALUE"""),4500)</f>
        <v>4500</v>
      </c>
      <c r="K116" s="0" t="str">
        <f aca="false">IF(D116,"{""sku"":"""&amp;B116&amp;""", ""costo"":"&amp;C116&amp;", ""grupo"":"""&amp;A116&amp;""", ""lote"":"&amp;D116&amp;", ""tiempo"":"&amp;E116&amp;", "&amp;F116&amp;", ""vencimiento"":"&amp;G116&amp;IF(I116,", ""precio"":"&amp;I116,)&amp;", ""tipo"":"""&amp;H116&amp;"""},",)</f>
        <v>{"sku":"10002", "costo":10, "grupo":"2", "lote":1, "tiempo":20, "formula":[{"sku":"1201","req":1},{"sku":"1105","req":1},{"sku":"1013","req":5},{"sku":"1210","req":1},{"sku":"1116","req":1}], "vencimiento":1, "precio":4500, "tipo":"cocina"},</v>
      </c>
    </row>
    <row r="117" customFormat="false" ht="13" hidden="false" customHeight="false" outlineLevel="0" collapsed="false">
      <c r="A117" s="16" t="n">
        <v>2</v>
      </c>
      <c r="B117" s="0" t="n">
        <f aca="false">IFERROR(__xludf.dummyfunction("""COMPUTED_VALUE"""),10003)</f>
        <v>10003</v>
      </c>
      <c r="C117" s="24" t="n">
        <f aca="false">IFERROR(__xludf.dummyfunction("""COMPUTED_VALUE"""),10)</f>
        <v>10</v>
      </c>
      <c r="D117" s="0" t="n">
        <f aca="false">IFERROR(__xludf.dummyfunction("""COMPUTED_VALUE"""),1)</f>
        <v>1</v>
      </c>
      <c r="E117" s="0" t="n">
        <f aca="false">IFERROR(__xludf.dummyfunction("""COMPUTED_VALUE"""),30)</f>
        <v>30</v>
      </c>
      <c r="F117" s="0" t="str">
        <f aca="false">IFERROR(__xludf.dummyfunction("filter(Formulas!$C:$C,Formulas!$A:$A=B117)"),"""formula"":[{""sku"":""1201"",""req"":1},{""sku"":""1105"",""req"":1},{""sku"":""1013"",""req"":5},{""sku"":""1210"",""req"":1},{""sku"":""1211"",""req"":1},{""sku"":""1116"",""req"":1}]")</f>
        <v>"formula":[{"sku":"1201","req":1},{"sku":"1105","req":1},{"sku":"1013","req":5},{"sku":"1210","req":1},{"sku":"1211","req":1},{"sku":"1116","req":1}]</v>
      </c>
      <c r="G117" s="0" t="n">
        <f aca="false">IFERROR(__xludf.dummyfunction("""COMPUTED_VALUE"""),1)</f>
        <v>1</v>
      </c>
      <c r="H117" s="21" t="str">
        <f aca="false">IFERROR(__xludf.dummyfunction("IF(D117,filter(Productos!AC:AC,Productos!A:A=B117),)"),"cocina")</f>
        <v>cocina</v>
      </c>
      <c r="I117" s="24" t="n">
        <f aca="false">IFERROR(__xludf.dummyfunction("""COMPUTED_VALUE"""),4700)</f>
        <v>4700</v>
      </c>
      <c r="K117" s="0" t="str">
        <f aca="false">IF(D117,"{""sku"":"""&amp;B117&amp;""", ""costo"":"&amp;C117&amp;", ""grupo"":"""&amp;A117&amp;""", ""lote"":"&amp;D117&amp;", ""tiempo"":"&amp;E117&amp;", "&amp;F117&amp;", ""vencimiento"":"&amp;G117&amp;IF(I117,", ""precio"":"&amp;I117,)&amp;", ""tipo"":"""&amp;H117&amp;"""},",)</f>
        <v>{"sku":"10003", "costo":10, "grupo":"2", "lote":1, "tiempo":30, "formula":[{"sku":"1201","req":1},{"sku":"1105","req":1},{"sku":"1013","req":5},{"sku":"1210","req":1},{"sku":"1211","req":1},{"sku":"1116","req":1}], "vencimiento":1, "precio":4700, "tipo":"cocina"},</v>
      </c>
    </row>
    <row r="118" customFormat="false" ht="13" hidden="false" customHeight="false" outlineLevel="0" collapsed="false">
      <c r="A118" s="16" t="n">
        <v>2</v>
      </c>
      <c r="B118" s="0" t="n">
        <f aca="false">IFERROR(__xludf.dummyfunction("""COMPUTED_VALUE"""),10004)</f>
        <v>10004</v>
      </c>
      <c r="C118" s="24" t="n">
        <f aca="false">IFERROR(__xludf.dummyfunction("""COMPUTED_VALUE"""),10)</f>
        <v>10</v>
      </c>
      <c r="D118" s="0" t="n">
        <f aca="false">IFERROR(__xludf.dummyfunction("""COMPUTED_VALUE"""),1)</f>
        <v>1</v>
      </c>
      <c r="E118" s="0" t="n">
        <f aca="false">IFERROR(__xludf.dummyfunction("""COMPUTED_VALUE"""),10)</f>
        <v>10</v>
      </c>
      <c r="F118" s="0" t="str">
        <f aca="false">IFERROR(__xludf.dummyfunction("filter(Formulas!$C:$C,Formulas!$A:$A=B118)"),"""formula"":[{""sku"":""1201"",""req"":1},{""sku"":""1106"",""req"":4},{""sku"":""1210"",""req"":1},{""sku"":""1211"",""req"":1},{""sku"":""1116"",""req"":1}]")</f>
        <v>"formula":[{"sku":"1201","req":1},{"sku":"1106","req":4},{"sku":"1210","req":1},{"sku":"1211","req":1},{"sku":"1116","req":1}]</v>
      </c>
      <c r="G118" s="0" t="n">
        <f aca="false">IFERROR(__xludf.dummyfunction("""COMPUTED_VALUE"""),1)</f>
        <v>1</v>
      </c>
      <c r="H118" s="21" t="str">
        <f aca="false">IFERROR(__xludf.dummyfunction("IF(D118,filter(Productos!AC:AC,Productos!A:A=B118),)"),"cocina")</f>
        <v>cocina</v>
      </c>
      <c r="I118" s="24" t="n">
        <f aca="false">IFERROR(__xludf.dummyfunction("""COMPUTED_VALUE"""),4700)</f>
        <v>4700</v>
      </c>
      <c r="K118" s="0" t="str">
        <f aca="false">IF(D118,"{""sku"":"""&amp;B118&amp;""", ""costo"":"&amp;C118&amp;", ""grupo"":"""&amp;A118&amp;""", ""lote"":"&amp;D118&amp;", ""tiempo"":"&amp;E118&amp;", "&amp;F118&amp;", ""vencimiento"":"&amp;G118&amp;IF(I118,", ""precio"":"&amp;I118,)&amp;", ""tipo"":"""&amp;H118&amp;"""},",)</f>
        <v>{"sku":"10004", "costo":10, "grupo":"2", "lote":1, "tiempo":10, "formula":[{"sku":"1201","req":1},{"sku":"1106","req":4},{"sku":"1210","req":1},{"sku":"1211","req":1},{"sku":"1116","req":1}], "vencimiento":1, "precio":4700, "tipo":"cocina"},</v>
      </c>
    </row>
    <row r="119" customFormat="false" ht="13" hidden="false" customHeight="false" outlineLevel="0" collapsed="false">
      <c r="A119" s="16" t="n">
        <v>2</v>
      </c>
      <c r="B119" s="0" t="n">
        <f aca="false">IFERROR(__xludf.dummyfunction("""COMPUTED_VALUE"""),10005)</f>
        <v>10005</v>
      </c>
      <c r="C119" s="24" t="n">
        <f aca="false">IFERROR(__xludf.dummyfunction("""COMPUTED_VALUE"""),10)</f>
        <v>10</v>
      </c>
      <c r="D119" s="0" t="n">
        <f aca="false">IFERROR(__xludf.dummyfunction("""COMPUTED_VALUE"""),1)</f>
        <v>1</v>
      </c>
      <c r="E119" s="0" t="n">
        <f aca="false">IFERROR(__xludf.dummyfunction("""COMPUTED_VALUE"""),20)</f>
        <v>20</v>
      </c>
      <c r="F119" s="0" t="str">
        <f aca="false">IFERROR(__xludf.dummyfunction("filter(Formulas!$C:$C,Formulas!$A:$A=B119)"),"""formula"":[{""sku"":""1201"",""req"":1},{""sku"":""1106"",""req"":4},{""sku"":""1013"",""req"":5},{""sku"":""1210"",""req"":1},{""sku"":""1116"",""req"":1}]")</f>
        <v>"formula":[{"sku":"1201","req":1},{"sku":"1106","req":4},{"sku":"1013","req":5},{"sku":"1210","req":1},{"sku":"1116","req":1}]</v>
      </c>
      <c r="G119" s="0" t="n">
        <f aca="false">IFERROR(__xludf.dummyfunction("""COMPUTED_VALUE"""),1)</f>
        <v>1</v>
      </c>
      <c r="H119" s="21" t="str">
        <f aca="false">IFERROR(__xludf.dummyfunction("IF(D119,filter(Productos!AC:AC,Productos!A:A=B119),)"),"cocina")</f>
        <v>cocina</v>
      </c>
      <c r="I119" s="24" t="n">
        <f aca="false">IFERROR(__xludf.dummyfunction("""COMPUTED_VALUE"""),4700)</f>
        <v>4700</v>
      </c>
      <c r="K119" s="0" t="str">
        <f aca="false">IF(D119,"{""sku"":"""&amp;B119&amp;""", ""costo"":"&amp;C119&amp;", ""grupo"":"""&amp;A119&amp;""", ""lote"":"&amp;D119&amp;", ""tiempo"":"&amp;E119&amp;", "&amp;F119&amp;", ""vencimiento"":"&amp;G119&amp;IF(I119,", ""precio"":"&amp;I119,)&amp;", ""tipo"":"""&amp;H119&amp;"""},",)</f>
        <v>{"sku":"10005", "costo":10, "grupo":"2", "lote":1, "tiempo":20, "formula":[{"sku":"1201","req":1},{"sku":"1106","req":4},{"sku":"1013","req":5},{"sku":"1210","req":1},{"sku":"1116","req":1}], "vencimiento":1, "precio":4700, "tipo":"cocina"},</v>
      </c>
    </row>
    <row r="120" customFormat="false" ht="13" hidden="false" customHeight="false" outlineLevel="0" collapsed="false">
      <c r="A120" s="16" t="n">
        <v>2</v>
      </c>
      <c r="B120" s="0" t="n">
        <f aca="false">IFERROR(__xludf.dummyfunction("""COMPUTED_VALUE"""),10006)</f>
        <v>10006</v>
      </c>
      <c r="C120" s="24" t="n">
        <f aca="false">IFERROR(__xludf.dummyfunction("""COMPUTED_VALUE"""),10)</f>
        <v>10</v>
      </c>
      <c r="D120" s="0" t="n">
        <f aca="false">IFERROR(__xludf.dummyfunction("""COMPUTED_VALUE"""),1)</f>
        <v>1</v>
      </c>
      <c r="E120" s="0" t="n">
        <f aca="false">IFERROR(__xludf.dummyfunction("""COMPUTED_VALUE"""),10)</f>
        <v>10</v>
      </c>
      <c r="F120" s="0" t="str">
        <f aca="false">IFERROR(__xludf.dummyfunction("filter(Formulas!$C:$C,Formulas!$A:$A=B120)"),"""formula"":[{""sku"":""1201"",""req"":1},{""sku"":""1210"",""req"":1},{""sku"":""1107"",""req"":1},{""sku"":""1211"",""req"":1},{""sku"":""1116"",""req"":1}]")</f>
        <v>"formula":[{"sku":"1201","req":1},{"sku":"1210","req":1},{"sku":"1107","req":1},{"sku":"1211","req":1},{"sku":"1116","req":1}]</v>
      </c>
      <c r="G120" s="0" t="n">
        <f aca="false">IFERROR(__xludf.dummyfunction("""COMPUTED_VALUE"""),1)</f>
        <v>1</v>
      </c>
      <c r="H120" s="21" t="str">
        <f aca="false">IFERROR(__xludf.dummyfunction("IF(D120,filter(Productos!AC:AC,Productos!A:A=B120),)"),"cocina")</f>
        <v>cocina</v>
      </c>
      <c r="I120" s="24" t="n">
        <f aca="false">IFERROR(__xludf.dummyfunction("""COMPUTED_VALUE"""),4900)</f>
        <v>4900</v>
      </c>
      <c r="K120" s="0" t="str">
        <f aca="false">IF(D120,"{""sku"":"""&amp;B120&amp;""", ""costo"":"&amp;C120&amp;", ""grupo"":"""&amp;A120&amp;""", ""lote"":"&amp;D120&amp;", ""tiempo"":"&amp;E120&amp;", "&amp;F120&amp;", ""vencimiento"":"&amp;G120&amp;IF(I120,", ""precio"":"&amp;I120,)&amp;", ""tipo"":"""&amp;H120&amp;"""},",)</f>
        <v>{"sku":"10006", "costo":10, "grupo":"2", "lote":1, "tiempo":10, "formula":[{"sku":"1201","req":1},{"sku":"1210","req":1},{"sku":"1107","req":1},{"sku":"1211","req":1},{"sku":"1116","req":1}], "vencimiento":1, "precio":4900, "tipo":"cocina"},</v>
      </c>
    </row>
    <row r="121" customFormat="false" ht="13" hidden="false" customHeight="false" outlineLevel="0" collapsed="false">
      <c r="A121" s="16" t="n">
        <v>2</v>
      </c>
      <c r="B121" s="0" t="n">
        <f aca="false">IFERROR(__xludf.dummyfunction("""COMPUTED_VALUE"""),10007)</f>
        <v>10007</v>
      </c>
      <c r="C121" s="24" t="n">
        <f aca="false">IFERROR(__xludf.dummyfunction("""COMPUTED_VALUE"""),10)</f>
        <v>10</v>
      </c>
      <c r="D121" s="0" t="n">
        <f aca="false">IFERROR(__xludf.dummyfunction("""COMPUTED_VALUE"""),1)</f>
        <v>1</v>
      </c>
      <c r="E121" s="0" t="n">
        <f aca="false">IFERROR(__xludf.dummyfunction("""COMPUTED_VALUE"""),20)</f>
        <v>20</v>
      </c>
      <c r="F121" s="0" t="str">
        <f aca="false">IFERROR(__xludf.dummyfunction("filter(Formulas!$C:$C,Formulas!$A:$A=B121)"),"""formula"":[{""sku"":""1201"",""req"":1},{""sku"":""1013"",""req"":5},{""sku"":""1210"",""req"":1},{""sku"":""1107"",""req"":1},{""sku"":""1116"",""req"":1}]")</f>
        <v>"formula":[{"sku":"1201","req":1},{"sku":"1013","req":5},{"sku":"1210","req":1},{"sku":"1107","req":1},{"sku":"1116","req":1}]</v>
      </c>
      <c r="G121" s="0" t="n">
        <f aca="false">IFERROR(__xludf.dummyfunction("""COMPUTED_VALUE"""),1)</f>
        <v>1</v>
      </c>
      <c r="H121" s="21" t="str">
        <f aca="false">IFERROR(__xludf.dummyfunction("IF(D121,filter(Productos!AC:AC,Productos!A:A=B121),)"),"cocina")</f>
        <v>cocina</v>
      </c>
      <c r="I121" s="24" t="n">
        <f aca="false">IFERROR(__xludf.dummyfunction("""COMPUTED_VALUE"""),4900)</f>
        <v>4900</v>
      </c>
      <c r="K121" s="0" t="str">
        <f aca="false">IF(D121,"{""sku"":"""&amp;B121&amp;""", ""costo"":"&amp;C121&amp;", ""grupo"":"""&amp;A121&amp;""", ""lote"":"&amp;D121&amp;", ""tiempo"":"&amp;E121&amp;", "&amp;F121&amp;", ""vencimiento"":"&amp;G121&amp;IF(I121,", ""precio"":"&amp;I121,)&amp;", ""tipo"":"""&amp;H121&amp;"""},",)</f>
        <v>{"sku":"10007", "costo":10, "grupo":"2", "lote":1, "tiempo":20, "formula":[{"sku":"1201","req":1},{"sku":"1013","req":5},{"sku":"1210","req":1},{"sku":"1107","req":1},{"sku":"1116","req":1}], "vencimiento":1, "precio":4900, "tipo":"cocina"},</v>
      </c>
    </row>
    <row r="122" customFormat="false" ht="13" hidden="false" customHeight="false" outlineLevel="0" collapsed="false">
      <c r="A122" s="16" t="n">
        <v>2</v>
      </c>
      <c r="B122" s="0" t="n">
        <f aca="false">IFERROR(__xludf.dummyfunction("""COMPUTED_VALUE"""),10008)</f>
        <v>10008</v>
      </c>
      <c r="C122" s="24" t="n">
        <f aca="false">IFERROR(__xludf.dummyfunction("""COMPUTED_VALUE"""),10)</f>
        <v>10</v>
      </c>
      <c r="D122" s="0" t="n">
        <f aca="false">IFERROR(__xludf.dummyfunction("""COMPUTED_VALUE"""),1)</f>
        <v>1</v>
      </c>
      <c r="E122" s="0" t="n">
        <f aca="false">IFERROR(__xludf.dummyfunction("""COMPUTED_VALUE"""),20)</f>
        <v>20</v>
      </c>
      <c r="F122" s="0" t="str">
        <f aca="false">IFERROR(__xludf.dummyfunction("filter(Formulas!$C:$C,Formulas!$A:$A=B122)"),"""formula"":[{""sku"":""1201"",""req"":1},{""sku"":""1109"",""req"":1},{""sku"":""1210"",""req"":1},{""sku"":""1211"",""req"":1},{""sku"":""1116"",""req"":1}]")</f>
        <v>"formula":[{"sku":"1201","req":1},{"sku":"1109","req":1},{"sku":"1210","req":1},{"sku":"1211","req":1},{"sku":"1116","req":1}]</v>
      </c>
      <c r="G122" s="0" t="n">
        <f aca="false">IFERROR(__xludf.dummyfunction("""COMPUTED_VALUE"""),1)</f>
        <v>1</v>
      </c>
      <c r="H122" s="21" t="str">
        <f aca="false">IFERROR(__xludf.dummyfunction("IF(D122,filter(Productos!AC:AC,Productos!A:A=B122),)"),"cocina")</f>
        <v>cocina</v>
      </c>
      <c r="I122" s="24" t="n">
        <f aca="false">IFERROR(__xludf.dummyfunction("""COMPUTED_VALUE"""),4900)</f>
        <v>4900</v>
      </c>
      <c r="K122" s="0" t="str">
        <f aca="false">IF(D122,"{""sku"":"""&amp;B122&amp;""", ""costo"":"&amp;C122&amp;", ""grupo"":"""&amp;A122&amp;""", ""lote"":"&amp;D122&amp;", ""tiempo"":"&amp;E122&amp;", "&amp;F122&amp;", ""vencimiento"":"&amp;G122&amp;IF(I122,", ""precio"":"&amp;I122,)&amp;", ""tipo"":"""&amp;H122&amp;"""},",)</f>
        <v>{"sku":"10008", "costo":10, "grupo":"2", "lote":1, "tiempo":20, "formula":[{"sku":"1201","req":1},{"sku":"1109","req":1},{"sku":"1210","req":1},{"sku":"1211","req":1},{"sku":"1116","req":1}], "vencimiento":1, "precio":4900, "tipo":"cocina"},</v>
      </c>
    </row>
    <row r="123" customFormat="false" ht="13" hidden="false" customHeight="false" outlineLevel="0" collapsed="false">
      <c r="A123" s="16" t="n">
        <v>2</v>
      </c>
      <c r="B123" s="0" t="n">
        <f aca="false">IFERROR(__xludf.dummyfunction("""COMPUTED_VALUE"""),10009)</f>
        <v>10009</v>
      </c>
      <c r="C123" s="24" t="n">
        <f aca="false">IFERROR(__xludf.dummyfunction("""COMPUTED_VALUE"""),10)</f>
        <v>10</v>
      </c>
      <c r="D123" s="0" t="n">
        <f aca="false">IFERROR(__xludf.dummyfunction("""COMPUTED_VALUE"""),1)</f>
        <v>1</v>
      </c>
      <c r="E123" s="0" t="n">
        <f aca="false">IFERROR(__xludf.dummyfunction("""COMPUTED_VALUE"""),30)</f>
        <v>30</v>
      </c>
      <c r="F123" s="0" t="str">
        <f aca="false">IFERROR(__xludf.dummyfunction("filter(Formulas!$C:$C,Formulas!$A:$A=B123)"),"""formula"":[{""sku"":""1201"",""req"":1},{""sku"":""1109"",""req"":1},{""sku"":""1013"",""req"":5},{""sku"":""1210"",""req"":1},{""sku"":""1116"",""req"":1}]")</f>
        <v>"formula":[{"sku":"1201","req":1},{"sku":"1109","req":1},{"sku":"1013","req":5},{"sku":"1210","req":1},{"sku":"1116","req":1}]</v>
      </c>
      <c r="G123" s="0" t="n">
        <f aca="false">IFERROR(__xludf.dummyfunction("""COMPUTED_VALUE"""),1)</f>
        <v>1</v>
      </c>
      <c r="H123" s="21" t="str">
        <f aca="false">IFERROR(__xludf.dummyfunction("IF(D123,filter(Productos!AC:AC,Productos!A:A=B123),)"),"cocina")</f>
        <v>cocina</v>
      </c>
      <c r="I123" s="24" t="n">
        <f aca="false">IFERROR(__xludf.dummyfunction("""COMPUTED_VALUE"""),4900)</f>
        <v>4900</v>
      </c>
      <c r="K123" s="0" t="str">
        <f aca="false">IF(D123,"{""sku"":"""&amp;B123&amp;""", ""costo"":"&amp;C123&amp;", ""grupo"":"""&amp;A123&amp;""", ""lote"":"&amp;D123&amp;", ""tiempo"":"&amp;E123&amp;", "&amp;F123&amp;", ""vencimiento"":"&amp;G123&amp;IF(I123,", ""precio"":"&amp;I123,)&amp;", ""tipo"":"""&amp;H123&amp;"""},",)</f>
        <v>{"sku":"10009", "costo":10, "grupo":"2", "lote":1, "tiempo":30, "formula":[{"sku":"1201","req":1},{"sku":"1109","req":1},{"sku":"1013","req":5},{"sku":"1210","req":1},{"sku":"1116","req":1}], "vencimiento":1, "precio":4900, "tipo":"cocina"},</v>
      </c>
    </row>
    <row r="124" customFormat="false" ht="13" hidden="false" customHeight="false" outlineLevel="0" collapsed="false">
      <c r="A124" s="16" t="n">
        <v>2</v>
      </c>
      <c r="B124" s="0" t="n">
        <f aca="false">IFERROR(__xludf.dummyfunction("""COMPUTED_VALUE"""),10010)</f>
        <v>10010</v>
      </c>
      <c r="C124" s="24" t="n">
        <f aca="false">IFERROR(__xludf.dummyfunction("""COMPUTED_VALUE"""),10)</f>
        <v>10</v>
      </c>
      <c r="D124" s="0" t="n">
        <f aca="false">IFERROR(__xludf.dummyfunction("""COMPUTED_VALUE"""),1)</f>
        <v>1</v>
      </c>
      <c r="E124" s="0" t="n">
        <f aca="false">IFERROR(__xludf.dummyfunction("""COMPUTED_VALUE"""),10)</f>
        <v>10</v>
      </c>
      <c r="F124" s="0" t="str">
        <f aca="false">IFERROR(__xludf.dummyfunction("filter(Formulas!$C:$C,Formulas!$A:$A=B124)"),"""formula"":[{""sku"":""1201"",""req"":1},{""sku"":""1106"",""req"":4},{""sku"":""1210"",""req"":1},{""sku"":""1110"",""req"":1},{""sku"":""1116"",""req"":1}]")</f>
        <v>"formula":[{"sku":"1201","req":1},{"sku":"1106","req":4},{"sku":"1210","req":1},{"sku":"1110","req":1},{"sku":"1116","req":1}]</v>
      </c>
      <c r="G124" s="0" t="n">
        <f aca="false">IFERROR(__xludf.dummyfunction("""COMPUTED_VALUE"""),1)</f>
        <v>1</v>
      </c>
      <c r="H124" s="21" t="str">
        <f aca="false">IFERROR(__xludf.dummyfunction("IF(D124,filter(Productos!AC:AC,Productos!A:A=B124),)"),"cocina")</f>
        <v>cocina</v>
      </c>
      <c r="I124" s="24" t="n">
        <f aca="false">IFERROR(__xludf.dummyfunction("""COMPUTED_VALUE"""),4900)</f>
        <v>4900</v>
      </c>
      <c r="K124" s="0" t="str">
        <f aca="false">IF(D124,"{""sku"":"""&amp;B124&amp;""", ""costo"":"&amp;C124&amp;", ""grupo"":"""&amp;A124&amp;""", ""lote"":"&amp;D124&amp;", ""tiempo"":"&amp;E124&amp;", "&amp;F124&amp;", ""vencimiento"":"&amp;G124&amp;IF(I124,", ""precio"":"&amp;I124,)&amp;", ""tipo"":"""&amp;H124&amp;"""},",)</f>
        <v>{"sku":"10010", "costo":10, "grupo":"2", "lote":1, "tiempo":10, "formula":[{"sku":"1201","req":1},{"sku":"1106","req":4},{"sku":"1210","req":1},{"sku":"1110","req":1},{"sku":"1116","req":1}], "vencimiento":1, "precio":4900, "tipo":"cocina"},</v>
      </c>
    </row>
    <row r="125" customFormat="false" ht="13" hidden="false" customHeight="false" outlineLevel="0" collapsed="false">
      <c r="A125" s="16" t="n">
        <v>2</v>
      </c>
      <c r="B125" s="0" t="n">
        <f aca="false">IFERROR(__xludf.dummyfunction("""COMPUTED_VALUE"""),10011)</f>
        <v>10011</v>
      </c>
      <c r="C125" s="24" t="n">
        <f aca="false">IFERROR(__xludf.dummyfunction("""COMPUTED_VALUE"""),10)</f>
        <v>10</v>
      </c>
      <c r="D125" s="0" t="n">
        <f aca="false">IFERROR(__xludf.dummyfunction("""COMPUTED_VALUE"""),1)</f>
        <v>1</v>
      </c>
      <c r="E125" s="0" t="n">
        <f aca="false">IFERROR(__xludf.dummyfunction("""COMPUTED_VALUE"""),20)</f>
        <v>20</v>
      </c>
      <c r="F125" s="0" t="str">
        <f aca="false">IFERROR(__xludf.dummyfunction("filter(Formulas!$C:$C,Formulas!$A:$A=B125)"),"""formula"":[{""sku"":""1201"",""req"":1},{""sku"":""1106"",""req"":4},{""sku"":""1114"",""req"":1},{""sku"":""1110"",""req"":1},{""sku"":""1112"",""req"":1},{""sku"":""1116"",""req"":1}]")</f>
        <v>"formula":[{"sku":"1201","req":1},{"sku":"1106","req":4},{"sku":"1114","req":1},{"sku":"1110","req":1},{"sku":"1112","req":1},{"sku":"1116","req":1}]</v>
      </c>
      <c r="G125" s="0" t="n">
        <f aca="false">IFERROR(__xludf.dummyfunction("""COMPUTED_VALUE"""),1)</f>
        <v>1</v>
      </c>
      <c r="H125" s="21" t="str">
        <f aca="false">IFERROR(__xludf.dummyfunction("IF(D125,filter(Productos!AC:AC,Productos!A:A=B125),)"),"cocina")</f>
        <v>cocina</v>
      </c>
      <c r="I125" s="24" t="n">
        <f aca="false">IFERROR(__xludf.dummyfunction("""COMPUTED_VALUE"""),5700)</f>
        <v>5700</v>
      </c>
      <c r="K125" s="0" t="str">
        <f aca="false">IF(D125,"{""sku"":"""&amp;B125&amp;""", ""costo"":"&amp;C125&amp;", ""grupo"":"""&amp;A125&amp;""", ""lote"":"&amp;D125&amp;", ""tiempo"":"&amp;E125&amp;", "&amp;F125&amp;", ""vencimiento"":"&amp;G125&amp;IF(I125,", ""precio"":"&amp;I125,)&amp;", ""tipo"":"""&amp;H125&amp;"""},",)</f>
        <v>{"sku":"10011", "costo":10, "grupo":"2", "lote":1, "tiempo":20, "formula":[{"sku":"1201","req":1},{"sku":"1106","req":4},{"sku":"1114","req":1},{"sku":"1110","req":1},{"sku":"1112","req":1},{"sku":"1116","req":1}], "vencimiento":1, "precio":5700, "tipo":"cocina"},</v>
      </c>
    </row>
    <row r="126" customFormat="false" ht="13" hidden="false" customHeight="false" outlineLevel="0" collapsed="false">
      <c r="A126" s="16" t="n">
        <v>2</v>
      </c>
      <c r="B126" s="0" t="n">
        <f aca="false">IFERROR(__xludf.dummyfunction("""COMPUTED_VALUE"""),10012)</f>
        <v>10012</v>
      </c>
      <c r="C126" s="24" t="n">
        <f aca="false">IFERROR(__xludf.dummyfunction("""COMPUTED_VALUE"""),10)</f>
        <v>10</v>
      </c>
      <c r="D126" s="0" t="n">
        <f aca="false">IFERROR(__xludf.dummyfunction("""COMPUTED_VALUE"""),1)</f>
        <v>1</v>
      </c>
      <c r="E126" s="0" t="n">
        <f aca="false">IFERROR(__xludf.dummyfunction("""COMPUTED_VALUE"""),20)</f>
        <v>20</v>
      </c>
      <c r="F126" s="0" t="str">
        <f aca="false">IFERROR(__xludf.dummyfunction("filter(Formulas!$C:$C,Formulas!$A:$A=B126)"),"""formula"":[{""sku"":""1201"",""req"":1},{""sku"":""1106"",""req"":4},{""sku"":""1110"",""req"":1},{""sku"":""1112"",""req"":1},{""sku"":""1108"",""req"":1},{""sku"":""1116"",""req"":1}]")</f>
        <v>"formula":[{"sku":"1201","req":1},{"sku":"1106","req":4},{"sku":"1110","req":1},{"sku":"1112","req":1},{"sku":"1108","req":1},{"sku":"1116","req":1}]</v>
      </c>
      <c r="G126" s="0" t="n">
        <f aca="false">IFERROR(__xludf.dummyfunction("""COMPUTED_VALUE"""),1)</f>
        <v>1</v>
      </c>
      <c r="H126" s="21" t="str">
        <f aca="false">IFERROR(__xludf.dummyfunction("IF(D126,filter(Productos!AC:AC,Productos!A:A=B126),)"),"cocina")</f>
        <v>cocina</v>
      </c>
      <c r="I126" s="24" t="n">
        <f aca="false">IFERROR(__xludf.dummyfunction("""COMPUTED_VALUE"""),5700)</f>
        <v>5700</v>
      </c>
      <c r="K126" s="0" t="str">
        <f aca="false">IF(D126,"{""sku"":"""&amp;B126&amp;""", ""costo"":"&amp;C126&amp;", ""grupo"":"""&amp;A126&amp;""", ""lote"":"&amp;D126&amp;", ""tiempo"":"&amp;E126&amp;", "&amp;F126&amp;", ""vencimiento"":"&amp;G126&amp;IF(I126,", ""precio"":"&amp;I126,)&amp;", ""tipo"":"""&amp;H126&amp;"""},",)</f>
        <v>{"sku":"10012", "costo":10, "grupo":"2", "lote":1, "tiempo":20, "formula":[{"sku":"1201","req":1},{"sku":"1106","req":4},{"sku":"1110","req":1},{"sku":"1112","req":1},{"sku":"1108","req":1},{"sku":"1116","req":1}], "vencimiento":1, "precio":5700, "tipo":"cocina"},</v>
      </c>
    </row>
    <row r="127" customFormat="false" ht="13" hidden="false" customHeight="false" outlineLevel="0" collapsed="false">
      <c r="A127" s="16" t="n">
        <v>2</v>
      </c>
      <c r="B127" s="0" t="n">
        <f aca="false">IFERROR(__xludf.dummyfunction("""COMPUTED_VALUE"""),10013)</f>
        <v>10013</v>
      </c>
      <c r="C127" s="24" t="n">
        <f aca="false">IFERROR(__xludf.dummyfunction("""COMPUTED_VALUE"""),10)</f>
        <v>10</v>
      </c>
      <c r="D127" s="0" t="n">
        <f aca="false">IFERROR(__xludf.dummyfunction("""COMPUTED_VALUE"""),1)</f>
        <v>1</v>
      </c>
      <c r="E127" s="0" t="n">
        <f aca="false">IFERROR(__xludf.dummyfunction("""COMPUTED_VALUE"""),10)</f>
        <v>10</v>
      </c>
      <c r="F127" s="0" t="str">
        <f aca="false">IFERROR(__xludf.dummyfunction("filter(Formulas!$C:$C,Formulas!$A:$A=B127)"),"""formula"":[{""sku"":""1201"",""req"":1},{""sku"":""1106"",""req"":4},{""sku"":""1110"",""req"":1},{""sku"":""1112"",""req"":1},{""sku"":""1116"",""req"":1}]")</f>
        <v>"formula":[{"sku":"1201","req":1},{"sku":"1106","req":4},{"sku":"1110","req":1},{"sku":"1112","req":1},{"sku":"1116","req":1}]</v>
      </c>
      <c r="G127" s="0" t="n">
        <f aca="false">IFERROR(__xludf.dummyfunction("""COMPUTED_VALUE"""),1)</f>
        <v>1</v>
      </c>
      <c r="H127" s="21" t="str">
        <f aca="false">IFERROR(__xludf.dummyfunction("IF(D127,filter(Productos!AC:AC,Productos!A:A=B127),)"),"cocina")</f>
        <v>cocina</v>
      </c>
      <c r="I127" s="24" t="n">
        <f aca="false">IFERROR(__xludf.dummyfunction("""COMPUTED_VALUE"""),5700)</f>
        <v>5700</v>
      </c>
      <c r="K127" s="0" t="str">
        <f aca="false">IF(D127,"{""sku"":"""&amp;B127&amp;""", ""costo"":"&amp;C127&amp;", ""grupo"":"""&amp;A127&amp;""", ""lote"":"&amp;D127&amp;", ""tiempo"":"&amp;E127&amp;", "&amp;F127&amp;", ""vencimiento"":"&amp;G127&amp;IF(I127,", ""precio"":"&amp;I127,)&amp;", ""tipo"":"""&amp;H127&amp;"""},",)</f>
        <v>{"sku":"10013", "costo":10, "grupo":"2", "lote":1, "tiempo":10, "formula":[{"sku":"1201","req":1},{"sku":"1106","req":4},{"sku":"1110","req":1},{"sku":"1112","req":1},{"sku":"1116","req":1}], "vencimiento":1, "precio":5700, "tipo":"cocina"},</v>
      </c>
    </row>
    <row r="128" customFormat="false" ht="13" hidden="false" customHeight="false" outlineLevel="0" collapsed="false">
      <c r="A128" s="16" t="n">
        <v>2</v>
      </c>
      <c r="B128" s="0" t="n">
        <f aca="false">IFERROR(__xludf.dummyfunction("""COMPUTED_VALUE"""),10014)</f>
        <v>10014</v>
      </c>
      <c r="C128" s="24" t="n">
        <f aca="false">IFERROR(__xludf.dummyfunction("""COMPUTED_VALUE"""),10)</f>
        <v>10</v>
      </c>
      <c r="D128" s="0" t="n">
        <f aca="false">IFERROR(__xludf.dummyfunction("""COMPUTED_VALUE"""),1)</f>
        <v>1</v>
      </c>
      <c r="E128" s="0" t="n">
        <f aca="false">IFERROR(__xludf.dummyfunction("""COMPUTED_VALUE"""),10)</f>
        <v>10</v>
      </c>
      <c r="F128" s="0" t="str">
        <f aca="false">IFERROR(__xludf.dummyfunction("filter(Formulas!$C:$C,Formulas!$A:$A=B128)"),"""formula"":[{""sku"":""1201"",""req"":1},{""sku"":""1105"",""req"":1},{""sku"":""1110"",""req"":1},{""sku"":""1112"",""req"":1},{""sku"":""1116"",""req"":1}]")</f>
        <v>"formula":[{"sku":"1201","req":1},{"sku":"1105","req":1},{"sku":"1110","req":1},{"sku":"1112","req":1},{"sku":"1116","req":1}]</v>
      </c>
      <c r="G128" s="0" t="n">
        <f aca="false">IFERROR(__xludf.dummyfunction("""COMPUTED_VALUE"""),1)</f>
        <v>1</v>
      </c>
      <c r="H128" s="21" t="str">
        <f aca="false">IFERROR(__xludf.dummyfunction("IF(D128,filter(Productos!AC:AC,Productos!A:A=B128),)"),"cocina")</f>
        <v>cocina</v>
      </c>
      <c r="I128" s="24" t="n">
        <f aca="false">IFERROR(__xludf.dummyfunction("""COMPUTED_VALUE"""),4900)</f>
        <v>4900</v>
      </c>
      <c r="K128" s="0" t="str">
        <f aca="false">IF(D128,"{""sku"":"""&amp;B128&amp;""", ""costo"":"&amp;C128&amp;", ""grupo"":"""&amp;A128&amp;""", ""lote"":"&amp;D128&amp;", ""tiempo"":"&amp;E128&amp;", "&amp;F128&amp;", ""vencimiento"":"&amp;G128&amp;IF(I128,", ""precio"":"&amp;I128,)&amp;", ""tipo"":"""&amp;H128&amp;"""},",)</f>
        <v>{"sku":"10014", "costo":10, "grupo":"2", "lote":1, "tiempo":10, "formula":[{"sku":"1201","req":1},{"sku":"1105","req":1},{"sku":"1110","req":1},{"sku":"1112","req":1},{"sku":"1116","req":1}], "vencimiento":1, "precio":4900, "tipo":"cocina"},</v>
      </c>
    </row>
    <row r="129" customFormat="false" ht="13" hidden="false" customHeight="false" outlineLevel="0" collapsed="false">
      <c r="A129" s="16" t="n">
        <v>2</v>
      </c>
      <c r="B129" s="0" t="n">
        <f aca="false">IFERROR(__xludf.dummyfunction("""COMPUTED_VALUE"""),10015)</f>
        <v>10015</v>
      </c>
      <c r="C129" s="24" t="n">
        <f aca="false">IFERROR(__xludf.dummyfunction("""COMPUTED_VALUE"""),10)</f>
        <v>10</v>
      </c>
      <c r="D129" s="0" t="n">
        <f aca="false">IFERROR(__xludf.dummyfunction("""COMPUTED_VALUE"""),1)</f>
        <v>1</v>
      </c>
      <c r="E129" s="0" t="n">
        <f aca="false">IFERROR(__xludf.dummyfunction("""COMPUTED_VALUE"""),20)</f>
        <v>20</v>
      </c>
      <c r="F129" s="0" t="str">
        <f aca="false">IFERROR(__xludf.dummyfunction("filter(Formulas!$C:$C,Formulas!$A:$A=B129)"),"""formula"":[{""sku"":""1201"",""req"":1},{""sku"":""1109"",""req"":1},{""sku"":""1115"",""req"":1},{""sku"":""1110"",""req"":1},{""sku"":""1112"",""req"":1},{""sku"":""1116"",""req"":1}]")</f>
        <v>"formula":[{"sku":"1201","req":1},{"sku":"1109","req":1},{"sku":"1115","req":1},{"sku":"1110","req":1},{"sku":"1112","req":1},{"sku":"1116","req":1}]</v>
      </c>
      <c r="G129" s="0" t="n">
        <f aca="false">IFERROR(__xludf.dummyfunction("""COMPUTED_VALUE"""),1)</f>
        <v>1</v>
      </c>
      <c r="H129" s="21" t="str">
        <f aca="false">IFERROR(__xludf.dummyfunction("IF(D129,filter(Productos!AC:AC,Productos!A:A=B129),)"),"cocina")</f>
        <v>cocina</v>
      </c>
      <c r="I129" s="24" t="n">
        <f aca="false">IFERROR(__xludf.dummyfunction("""COMPUTED_VALUE"""),5700)</f>
        <v>5700</v>
      </c>
      <c r="K129" s="0" t="str">
        <f aca="false">IF(D129,"{""sku"":"""&amp;B129&amp;""", ""costo"":"&amp;C129&amp;", ""grupo"":"""&amp;A129&amp;""", ""lote"":"&amp;D129&amp;", ""tiempo"":"&amp;E129&amp;", "&amp;F129&amp;", ""vencimiento"":"&amp;G129&amp;IF(I129,", ""precio"":"&amp;I129,)&amp;", ""tipo"":"""&amp;H129&amp;"""},",)</f>
        <v>{"sku":"10015", "costo":10, "grupo":"2", "lote":1, "tiempo":20, "formula":[{"sku":"1201","req":1},{"sku":"1109","req":1},{"sku":"1115","req":1},{"sku":"1110","req":1},{"sku":"1112","req":1},{"sku":"1116","req":1}], "vencimiento":1, "precio":5700, "tipo":"cocina"},</v>
      </c>
    </row>
    <row r="130" customFormat="false" ht="13" hidden="false" customHeight="false" outlineLevel="0" collapsed="false">
      <c r="A130" s="16" t="n">
        <v>2</v>
      </c>
      <c r="B130" s="0" t="n">
        <f aca="false">IFERROR(__xludf.dummyfunction("""COMPUTED_VALUE"""),10016)</f>
        <v>10016</v>
      </c>
      <c r="C130" s="24" t="n">
        <f aca="false">IFERROR(__xludf.dummyfunction("""COMPUTED_VALUE"""),10)</f>
        <v>10</v>
      </c>
      <c r="D130" s="0" t="n">
        <f aca="false">IFERROR(__xludf.dummyfunction("""COMPUTED_VALUE"""),1)</f>
        <v>1</v>
      </c>
      <c r="E130" s="0" t="n">
        <f aca="false">IFERROR(__xludf.dummyfunction("""COMPUTED_VALUE"""),20)</f>
        <v>20</v>
      </c>
      <c r="F130" s="0" t="str">
        <f aca="false">IFERROR(__xludf.dummyfunction("filter(Formulas!$C:$C,Formulas!$A:$A=B130)"),"""formula"":[{""sku"":""1201"",""req"":1},{""sku"":""1106"",""req"":4},{""sku"":""1110"",""req"":1},{""sku"":""1112"",""req"":1},{""sku"":""1107"",""req"":1},{""sku"":""1116"",""req"":1}]")</f>
        <v>"formula":[{"sku":"1201","req":1},{"sku":"1106","req":4},{"sku":"1110","req":1},{"sku":"1112","req":1},{"sku":"1107","req":1},{"sku":"1116","req":1}]</v>
      </c>
      <c r="G130" s="0" t="n">
        <f aca="false">IFERROR(__xludf.dummyfunction("""COMPUTED_VALUE"""),1)</f>
        <v>1</v>
      </c>
      <c r="H130" s="21" t="str">
        <f aca="false">IFERROR(__xludf.dummyfunction("IF(D130,filter(Productos!AC:AC,Productos!A:A=B130),)"),"cocina")</f>
        <v>cocina</v>
      </c>
      <c r="I130" s="24" t="n">
        <f aca="false">IFERROR(__xludf.dummyfunction("""COMPUTED_VALUE"""),5700)</f>
        <v>5700</v>
      </c>
      <c r="K130" s="0" t="str">
        <f aca="false">IF(D130,"{""sku"":"""&amp;B130&amp;""", ""costo"":"&amp;C130&amp;", ""grupo"":"""&amp;A130&amp;""", ""lote"":"&amp;D130&amp;", ""tiempo"":"&amp;E130&amp;", "&amp;F130&amp;", ""vencimiento"":"&amp;G130&amp;IF(I130,", ""precio"":"&amp;I130,)&amp;", ""tipo"":"""&amp;H130&amp;"""},",)</f>
        <v>{"sku":"10016", "costo":10, "grupo":"2", "lote":1, "tiempo":20, "formula":[{"sku":"1201","req":1},{"sku":"1106","req":4},{"sku":"1110","req":1},{"sku":"1112","req":1},{"sku":"1107","req":1},{"sku":"1116","req":1}], "vencimiento":1, "precio":5700, "tipo":"cocina"},</v>
      </c>
    </row>
    <row r="131" customFormat="false" ht="13" hidden="false" customHeight="false" outlineLevel="0" collapsed="false">
      <c r="A131" s="16" t="n">
        <v>2</v>
      </c>
      <c r="B131" s="0" t="n">
        <f aca="false">IFERROR(__xludf.dummyfunction("""COMPUTED_VALUE"""),10017)</f>
        <v>10017</v>
      </c>
      <c r="C131" s="24" t="n">
        <f aca="false">IFERROR(__xludf.dummyfunction("""COMPUTED_VALUE"""),10)</f>
        <v>10</v>
      </c>
      <c r="D131" s="0" t="n">
        <f aca="false">IFERROR(__xludf.dummyfunction("""COMPUTED_VALUE"""),1)</f>
        <v>1</v>
      </c>
      <c r="E131" s="0" t="n">
        <f aca="false">IFERROR(__xludf.dummyfunction("""COMPUTED_VALUE"""),10)</f>
        <v>10</v>
      </c>
      <c r="F131" s="0" t="str">
        <f aca="false">IFERROR(__xludf.dummyfunction("filter(Formulas!$C:$C,Formulas!$A:$A=B131)"),"""formula"":[{""sku"":""1201"",""req"":1},{""sku"":""1110"",""req"":1},{""sku"":""1112"",""req"":1},{""sku"":""1107"",""req"":1},{""sku"":""1116"",""req"":1}]")</f>
        <v>"formula":[{"sku":"1201","req":1},{"sku":"1110","req":1},{"sku":"1112","req":1},{"sku":"1107","req":1},{"sku":"1116","req":1}]</v>
      </c>
      <c r="G131" s="0" t="n">
        <f aca="false">IFERROR(__xludf.dummyfunction("""COMPUTED_VALUE"""),1)</f>
        <v>1</v>
      </c>
      <c r="H131" s="21" t="str">
        <f aca="false">IFERROR(__xludf.dummyfunction("IF(D131,filter(Productos!AC:AC,Productos!A:A=B131),)"),"cocina")</f>
        <v>cocina</v>
      </c>
      <c r="I131" s="24" t="n">
        <f aca="false">IFERROR(__xludf.dummyfunction("""COMPUTED_VALUE"""),5700)</f>
        <v>5700</v>
      </c>
      <c r="K131" s="0" t="str">
        <f aca="false">IF(D131,"{""sku"":"""&amp;B131&amp;""", ""costo"":"&amp;C131&amp;", ""grupo"":"""&amp;A131&amp;""", ""lote"":"&amp;D131&amp;", ""tiempo"":"&amp;E131&amp;", "&amp;F131&amp;", ""vencimiento"":"&amp;G131&amp;IF(I131,", ""precio"":"&amp;I131,)&amp;", ""tipo"":"""&amp;H131&amp;"""},",)</f>
        <v>{"sku":"10017", "costo":10, "grupo":"2", "lote":1, "tiempo":10, "formula":[{"sku":"1201","req":1},{"sku":"1110","req":1},{"sku":"1112","req":1},{"sku":"1107","req":1},{"sku":"1116","req":1}], "vencimiento":1, "precio":5700, "tipo":"cocina"},</v>
      </c>
    </row>
    <row r="132" customFormat="false" ht="13" hidden="false" customHeight="false" outlineLevel="0" collapsed="false">
      <c r="A132" s="16" t="n">
        <v>2</v>
      </c>
      <c r="B132" s="0" t="n">
        <f aca="false">IFERROR(__xludf.dummyfunction("""COMPUTED_VALUE"""),10018)</f>
        <v>10018</v>
      </c>
      <c r="C132" s="24" t="n">
        <f aca="false">IFERROR(__xludf.dummyfunction("""COMPUTED_VALUE"""),10)</f>
        <v>10</v>
      </c>
      <c r="D132" s="0" t="n">
        <f aca="false">IFERROR(__xludf.dummyfunction("""COMPUTED_VALUE"""),1)</f>
        <v>1</v>
      </c>
      <c r="E132" s="0" t="n">
        <f aca="false">IFERROR(__xludf.dummyfunction("""COMPUTED_VALUE"""),10)</f>
        <v>10</v>
      </c>
      <c r="F132" s="0" t="str">
        <f aca="false">IFERROR(__xludf.dummyfunction("filter(Formulas!$C:$C,Formulas!$A:$A=B132)"),"""formula"":[{""sku"":""1201"",""req"":1},{""sku"":""1105"",""req"":1},{""sku"":""1112"",""req"":1},{""sku"":""1407"",""req"":1},{""sku"":""1116"",""req"":1}]")</f>
        <v>"formula":[{"sku":"1201","req":1},{"sku":"1105","req":1},{"sku":"1112","req":1},{"sku":"1407","req":1},{"sku":"1116","req":1}]</v>
      </c>
      <c r="G132" s="0" t="n">
        <f aca="false">IFERROR(__xludf.dummyfunction("""COMPUTED_VALUE"""),1)</f>
        <v>1</v>
      </c>
      <c r="H132" s="21" t="str">
        <f aca="false">IFERROR(__xludf.dummyfunction("IF(D132,filter(Productos!AC:AC,Productos!A:A=B132),)"),"cocina")</f>
        <v>cocina</v>
      </c>
      <c r="I132" s="24" t="n">
        <f aca="false">IFERROR(__xludf.dummyfunction("""COMPUTED_VALUE"""),5700)</f>
        <v>5700</v>
      </c>
      <c r="K132" s="0" t="str">
        <f aca="false">IF(D132,"{""sku"":"""&amp;B132&amp;""", ""costo"":"&amp;C132&amp;", ""grupo"":"""&amp;A132&amp;""", ""lote"":"&amp;D132&amp;", ""tiempo"":"&amp;E132&amp;", "&amp;F132&amp;", ""vencimiento"":"&amp;G132&amp;IF(I132,", ""precio"":"&amp;I132,)&amp;", ""tipo"":"""&amp;H132&amp;"""},",)</f>
        <v>{"sku":"10018", "costo":10, "grupo":"2", "lote":1, "tiempo":10, "formula":[{"sku":"1201","req":1},{"sku":"1105","req":1},{"sku":"1112","req":1},{"sku":"1407","req":1},{"sku":"1116","req":1}], "vencimiento":1, "precio":5700, "tipo":"cocina"},</v>
      </c>
    </row>
    <row r="133" customFormat="false" ht="13" hidden="false" customHeight="false" outlineLevel="0" collapsed="false">
      <c r="A133" s="16" t="n">
        <v>2</v>
      </c>
      <c r="B133" s="0" t="n">
        <f aca="false">IFERROR(__xludf.dummyfunction("""COMPUTED_VALUE"""),10019)</f>
        <v>10019</v>
      </c>
      <c r="C133" s="24" t="n">
        <f aca="false">IFERROR(__xludf.dummyfunction("""COMPUTED_VALUE"""),10)</f>
        <v>10</v>
      </c>
      <c r="D133" s="0" t="n">
        <f aca="false">IFERROR(__xludf.dummyfunction("""COMPUTED_VALUE"""),1)</f>
        <v>1</v>
      </c>
      <c r="E133" s="0" t="n">
        <f aca="false">IFERROR(__xludf.dummyfunction("""COMPUTED_VALUE"""),10)</f>
        <v>10</v>
      </c>
      <c r="F133" s="0" t="str">
        <f aca="false">IFERROR(__xludf.dummyfunction("filter(Formulas!$C:$C,Formulas!$A:$A=B133)"),"""formula"":[{""sku"":""1201"",""req"":1},{""sku"":""1106"",""req"":4},{""sku"":""1210"",""req"":1},{""sku"":""1116"",""req"":1},{""sku"":""1407"",""req"":1}]")</f>
        <v>"formula":[{"sku":"1201","req":1},{"sku":"1106","req":4},{"sku":"1210","req":1},{"sku":"1116","req":1},{"sku":"1407","req":1}]</v>
      </c>
      <c r="G133" s="0" t="n">
        <f aca="false">IFERROR(__xludf.dummyfunction("""COMPUTED_VALUE"""),1)</f>
        <v>1</v>
      </c>
      <c r="H133" s="21" t="str">
        <f aca="false">IFERROR(__xludf.dummyfunction("IF(D133,filter(Productos!AC:AC,Productos!A:A=B133),)"),"cocina")</f>
        <v>cocina</v>
      </c>
      <c r="I133" s="24" t="n">
        <f aca="false">IFERROR(__xludf.dummyfunction("""COMPUTED_VALUE"""),5700)</f>
        <v>5700</v>
      </c>
      <c r="K133" s="0" t="str">
        <f aca="false">IF(D133,"{""sku"":"""&amp;B133&amp;""", ""costo"":"&amp;C133&amp;", ""grupo"":"""&amp;A133&amp;""", ""lote"":"&amp;D133&amp;", ""tiempo"":"&amp;E133&amp;", "&amp;F133&amp;", ""vencimiento"":"&amp;G133&amp;IF(I133,", ""precio"":"&amp;I133,)&amp;", ""tipo"":"""&amp;H133&amp;"""},",)</f>
        <v>{"sku":"10019", "costo":10, "grupo":"2", "lote":1, "tiempo":10, "formula":[{"sku":"1201","req":1},{"sku":"1106","req":4},{"sku":"1210","req":1},{"sku":"1116","req":1},{"sku":"1407","req":1}], "vencimiento":1, "precio":5700, "tipo":"cocina"},</v>
      </c>
    </row>
    <row r="134" customFormat="false" ht="13" hidden="false" customHeight="false" outlineLevel="0" collapsed="false">
      <c r="A134" s="16" t="n">
        <v>2</v>
      </c>
      <c r="B134" s="0" t="n">
        <f aca="false">IFERROR(__xludf.dummyfunction("""COMPUTED_VALUE"""),10020)</f>
        <v>10020</v>
      </c>
      <c r="C134" s="24" t="n">
        <f aca="false">IFERROR(__xludf.dummyfunction("""COMPUTED_VALUE"""),10)</f>
        <v>10</v>
      </c>
      <c r="D134" s="0" t="n">
        <f aca="false">IFERROR(__xludf.dummyfunction("""COMPUTED_VALUE"""),1)</f>
        <v>1</v>
      </c>
      <c r="E134" s="0" t="n">
        <f aca="false">IFERROR(__xludf.dummyfunction("""COMPUTED_VALUE"""),20)</f>
        <v>20</v>
      </c>
      <c r="F134" s="0" t="str">
        <f aca="false">IFERROR(__xludf.dummyfunction("filter(Formulas!$C:$C,Formulas!$A:$A=B134)"),"""formula"":[{""sku"":""1201"",""req"":1},{""sku"":""1116"",""req"":1},{""sku"":""1106"",""req"":4},{""sku"":""1112"",""req"":1},{""sku"":""1114"",""req"":1},{""sku"":""1407"",""req"":1}]")</f>
        <v>"formula":[{"sku":"1201","req":1},{"sku":"1116","req":1},{"sku":"1106","req":4},{"sku":"1112","req":1},{"sku":"1114","req":1},{"sku":"1407","req":1}]</v>
      </c>
      <c r="G134" s="0" t="n">
        <f aca="false">IFERROR(__xludf.dummyfunction("""COMPUTED_VALUE"""),1)</f>
        <v>1</v>
      </c>
      <c r="H134" s="21" t="str">
        <f aca="false">IFERROR(__xludf.dummyfunction("IF(D134,filter(Productos!AC:AC,Productos!A:A=B134),)"),"cocina")</f>
        <v>cocina</v>
      </c>
      <c r="I134" s="24" t="n">
        <f aca="false">IFERROR(__xludf.dummyfunction("""COMPUTED_VALUE"""),5900)</f>
        <v>5900</v>
      </c>
      <c r="K134" s="0" t="str">
        <f aca="false">IF(D134,"{""sku"":"""&amp;B134&amp;""", ""costo"":"&amp;C134&amp;", ""grupo"":"""&amp;A134&amp;""", ""lote"":"&amp;D134&amp;", ""tiempo"":"&amp;E134&amp;", "&amp;F134&amp;", ""vencimiento"":"&amp;G134&amp;IF(I134,", ""precio"":"&amp;I134,)&amp;", ""tipo"":"""&amp;H134&amp;"""},",)</f>
        <v>{"sku":"10020", "costo":10, "grupo":"2", "lote":1, "tiempo":20, "formula":[{"sku":"1201","req":1},{"sku":"1116","req":1},{"sku":"1106","req":4},{"sku":"1112","req":1},{"sku":"1114","req":1},{"sku":"1407","req":1}], "vencimiento":1, "precio":5900, "tipo":"cocina"},</v>
      </c>
    </row>
    <row r="135" customFormat="false" ht="13" hidden="false" customHeight="false" outlineLevel="0" collapsed="false">
      <c r="A135" s="16" t="n">
        <v>2</v>
      </c>
      <c r="B135" s="0" t="n">
        <f aca="false">IFERROR(__xludf.dummyfunction("""COMPUTED_VALUE"""),10021)</f>
        <v>10021</v>
      </c>
      <c r="C135" s="24" t="n">
        <f aca="false">IFERROR(__xludf.dummyfunction("""COMPUTED_VALUE"""),10)</f>
        <v>10</v>
      </c>
      <c r="D135" s="0" t="n">
        <f aca="false">IFERROR(__xludf.dummyfunction("""COMPUTED_VALUE"""),1)</f>
        <v>1</v>
      </c>
      <c r="E135" s="0" t="n">
        <f aca="false">IFERROR(__xludf.dummyfunction("""COMPUTED_VALUE"""),10)</f>
        <v>10</v>
      </c>
      <c r="F135" s="0" t="str">
        <f aca="false">IFERROR(__xludf.dummyfunction("filter(Formulas!$C:$C,Formulas!$A:$A=B135)"),"""formula"":[{""sku"":""1201"",""req"":1},{""sku"":""1116"",""req"":1},{""sku"":""1109"",""req"":1},{""sku"":""1114"",""req"":1},{""sku"":""1407"",""req"":1}]")</f>
        <v>"formula":[{"sku":"1201","req":1},{"sku":"1116","req":1},{"sku":"1109","req":1},{"sku":"1114","req":1},{"sku":"1407","req":1}]</v>
      </c>
      <c r="G135" s="0" t="n">
        <f aca="false">IFERROR(__xludf.dummyfunction("""COMPUTED_VALUE"""),1)</f>
        <v>1</v>
      </c>
      <c r="H135" s="21" t="str">
        <f aca="false">IFERROR(__xludf.dummyfunction("IF(D135,filter(Productos!AC:AC,Productos!A:A=B135),)"),"cocina")</f>
        <v>cocina</v>
      </c>
      <c r="I135" s="24" t="n">
        <f aca="false">IFERROR(__xludf.dummyfunction("""COMPUTED_VALUE"""),5900)</f>
        <v>5900</v>
      </c>
      <c r="K135" s="0" t="str">
        <f aca="false">IF(D135,"{""sku"":"""&amp;B135&amp;""", ""costo"":"&amp;C135&amp;", ""grupo"":"""&amp;A135&amp;""", ""lote"":"&amp;D135&amp;", ""tiempo"":"&amp;E135&amp;", "&amp;F135&amp;", ""vencimiento"":"&amp;G135&amp;IF(I135,", ""precio"":"&amp;I135,)&amp;", ""tipo"":"""&amp;H135&amp;"""},",)</f>
        <v>{"sku":"10021", "costo":10, "grupo":"2", "lote":1, "tiempo":10, "formula":[{"sku":"1201","req":1},{"sku":"1116","req":1},{"sku":"1109","req":1},{"sku":"1114","req":1},{"sku":"1407","req":1}], "vencimiento":1, "precio":5900, "tipo":"cocina"},</v>
      </c>
    </row>
    <row r="136" customFormat="false" ht="13" hidden="false" customHeight="false" outlineLevel="0" collapsed="false">
      <c r="A136" s="16" t="n">
        <v>2</v>
      </c>
      <c r="B136" s="0" t="n">
        <f aca="false">IFERROR(__xludf.dummyfunction("""COMPUTED_VALUE"""),10022)</f>
        <v>10022</v>
      </c>
      <c r="C136" s="24" t="n">
        <f aca="false">IFERROR(__xludf.dummyfunction("""COMPUTED_VALUE"""),10)</f>
        <v>10</v>
      </c>
      <c r="D136" s="0" t="n">
        <f aca="false">IFERROR(__xludf.dummyfunction("""COMPUTED_VALUE"""),1)</f>
        <v>1</v>
      </c>
      <c r="E136" s="0" t="n">
        <f aca="false">IFERROR(__xludf.dummyfunction("""COMPUTED_VALUE"""),20)</f>
        <v>20</v>
      </c>
      <c r="F136" s="0" t="str">
        <f aca="false">IFERROR(__xludf.dummyfunction("filter(Formulas!$C:$C,Formulas!$A:$A=B136)"),"""formula"":[{""sku"":""1201"",""req"":1},{""sku"":""1116"",""req"":1},{""sku"":""1107"",""req"":1},{""sku"":""1112"",""req"":1},{""sku"":""1210"",""req"":1},{""sku"":""1215"",""req"":1}]")</f>
        <v>"formula":[{"sku":"1201","req":1},{"sku":"1116","req":1},{"sku":"1107","req":1},{"sku":"1112","req":1},{"sku":"1210","req":1},{"sku":"1215","req":1}]</v>
      </c>
      <c r="G136" s="0" t="n">
        <f aca="false">IFERROR(__xludf.dummyfunction("""COMPUTED_VALUE"""),1)</f>
        <v>1</v>
      </c>
      <c r="H136" s="21" t="str">
        <f aca="false">IFERROR(__xludf.dummyfunction("IF(D136,filter(Productos!AC:AC,Productos!A:A=B136),)"),"cocina")</f>
        <v>cocina</v>
      </c>
      <c r="I136" s="24" t="n">
        <f aca="false">IFERROR(__xludf.dummyfunction("""COMPUTED_VALUE"""),5500)</f>
        <v>5500</v>
      </c>
      <c r="K136" s="0" t="str">
        <f aca="false">IF(D136,"{""sku"":"""&amp;B136&amp;""", ""costo"":"&amp;C136&amp;", ""grupo"":"""&amp;A136&amp;""", ""lote"":"&amp;D136&amp;", ""tiempo"":"&amp;E136&amp;", "&amp;F136&amp;", ""vencimiento"":"&amp;G136&amp;IF(I136,", ""precio"":"&amp;I136,)&amp;", ""tipo"":"""&amp;H136&amp;"""},",)</f>
        <v>{"sku":"10022", "costo":10, "grupo":"2", "lote":1, "tiempo":20, "formula":[{"sku":"1201","req":1},{"sku":"1116","req":1},{"sku":"1107","req":1},{"sku":"1112","req":1},{"sku":"1210","req":1},{"sku":"1215","req":1}], "vencimiento":1, "precio":5500, "tipo":"cocina"},</v>
      </c>
    </row>
    <row r="137" customFormat="false" ht="13" hidden="false" customHeight="false" outlineLevel="0" collapsed="false">
      <c r="A137" s="16" t="n">
        <v>2</v>
      </c>
      <c r="B137" s="0" t="n">
        <f aca="false">IFERROR(__xludf.dummyfunction("""COMPUTED_VALUE"""),10023)</f>
        <v>10023</v>
      </c>
      <c r="C137" s="24" t="n">
        <f aca="false">IFERROR(__xludf.dummyfunction("""COMPUTED_VALUE"""),10)</f>
        <v>10</v>
      </c>
      <c r="D137" s="0" t="n">
        <f aca="false">IFERROR(__xludf.dummyfunction("""COMPUTED_VALUE"""),1)</f>
        <v>1</v>
      </c>
      <c r="E137" s="0" t="n">
        <f aca="false">IFERROR(__xludf.dummyfunction("""COMPUTED_VALUE"""),20)</f>
        <v>20</v>
      </c>
      <c r="F137" s="0" t="str">
        <f aca="false">IFERROR(__xludf.dummyfunction("filter(Formulas!$C:$C,Formulas!$A:$A=B137)"),"""formula"":[{""sku"":""1201"",""req"":1},{""sku"":""1116"",""req"":1},{""sku"":""1109"",""req"":1},{""sku"":""1112"",""req"":1},{""sku"":""1210"",""req"":1},{""sku"":""1215"",""req"":1}]")</f>
        <v>"formula":[{"sku":"1201","req":1},{"sku":"1116","req":1},{"sku":"1109","req":1},{"sku":"1112","req":1},{"sku":"1210","req":1},{"sku":"1215","req":1}]</v>
      </c>
      <c r="G137" s="0" t="n">
        <f aca="false">IFERROR(__xludf.dummyfunction("""COMPUTED_VALUE"""),1)</f>
        <v>1</v>
      </c>
      <c r="H137" s="21" t="str">
        <f aca="false">IFERROR(__xludf.dummyfunction("IF(D137,filter(Productos!AC:AC,Productos!A:A=B137),)"),"cocina")</f>
        <v>cocina</v>
      </c>
      <c r="I137" s="24" t="n">
        <f aca="false">IFERROR(__xludf.dummyfunction("""COMPUTED_VALUE"""),5500)</f>
        <v>5500</v>
      </c>
      <c r="K137" s="0" t="str">
        <f aca="false">IF(D137,"{""sku"":"""&amp;B137&amp;""", ""costo"":"&amp;C137&amp;", ""grupo"":"""&amp;A137&amp;""", ""lote"":"&amp;D137&amp;", ""tiempo"":"&amp;E137&amp;", "&amp;F137&amp;", ""vencimiento"":"&amp;G137&amp;IF(I137,", ""precio"":"&amp;I137,)&amp;", ""tipo"":"""&amp;H137&amp;"""},",)</f>
        <v>{"sku":"10023", "costo":10, "grupo":"2", "lote":1, "tiempo":20, "formula":[{"sku":"1201","req":1},{"sku":"1116","req":1},{"sku":"1109","req":1},{"sku":"1112","req":1},{"sku":"1210","req":1},{"sku":"1215","req":1}], "vencimiento":1, "precio":5500, "tipo":"cocina"},</v>
      </c>
    </row>
    <row r="138" customFormat="false" ht="13" hidden="false" customHeight="false" outlineLevel="0" collapsed="false">
      <c r="A138" s="16" t="n">
        <v>2</v>
      </c>
      <c r="B138" s="0" t="n">
        <f aca="false">IFERROR(__xludf.dummyfunction("""COMPUTED_VALUE"""),10024)</f>
        <v>10024</v>
      </c>
      <c r="C138" s="24" t="n">
        <f aca="false">IFERROR(__xludf.dummyfunction("""COMPUTED_VALUE"""),10)</f>
        <v>10</v>
      </c>
      <c r="D138" s="0" t="n">
        <f aca="false">IFERROR(__xludf.dummyfunction("""COMPUTED_VALUE"""),1)</f>
        <v>1</v>
      </c>
      <c r="E138" s="0" t="n">
        <f aca="false">IFERROR(__xludf.dummyfunction("""COMPUTED_VALUE"""),20)</f>
        <v>20</v>
      </c>
      <c r="F138" s="0" t="str">
        <f aca="false">IFERROR(__xludf.dummyfunction("filter(Formulas!$C:$C,Formulas!$A:$A=B138)"),"""formula"":[{""sku"":""1201"",""req"":1},{""sku"":""1116"",""req"":1},{""sku"":""1210"",""req"":1},{""sku"":""1114"",""req"":1},{""sku"":""1115"",""req"":1},{""sku"":""1211"",""req"":1}]")</f>
        <v>"formula":[{"sku":"1201","req":1},{"sku":"1116","req":1},{"sku":"1210","req":1},{"sku":"1114","req":1},{"sku":"1115","req":1},{"sku":"1211","req":1}]</v>
      </c>
      <c r="G138" s="0" t="n">
        <f aca="false">IFERROR(__xludf.dummyfunction("""COMPUTED_VALUE"""),1)</f>
        <v>1</v>
      </c>
      <c r="H138" s="21" t="str">
        <f aca="false">IFERROR(__xludf.dummyfunction("IF(D138,filter(Productos!AC:AC,Productos!A:A=B138),)"),"cocina")</f>
        <v>cocina</v>
      </c>
      <c r="I138" s="24" t="n">
        <f aca="false">IFERROR(__xludf.dummyfunction("""COMPUTED_VALUE"""),4900)</f>
        <v>4900</v>
      </c>
      <c r="K138" s="0" t="str">
        <f aca="false">IF(D138,"{""sku"":"""&amp;B138&amp;""", ""costo"":"&amp;C138&amp;", ""grupo"":"""&amp;A138&amp;""", ""lote"":"&amp;D138&amp;", ""tiempo"":"&amp;E138&amp;", "&amp;F138&amp;", ""vencimiento"":"&amp;G138&amp;IF(I138,", ""precio"":"&amp;I138,)&amp;", ""tipo"":"""&amp;H138&amp;"""},",)</f>
        <v>{"sku":"10024", "costo":10, "grupo":"2", "lote":1, "tiempo":20, "formula":[{"sku":"1201","req":1},{"sku":"1116","req":1},{"sku":"1210","req":1},{"sku":"1114","req":1},{"sku":"1115","req":1},{"sku":"1211","req":1}], "vencimiento":1, "precio":4900, "tipo":"cocina"},</v>
      </c>
    </row>
    <row r="139" customFormat="false" ht="13" hidden="false" customHeight="false" outlineLevel="0" collapsed="false">
      <c r="A139" s="16" t="n">
        <v>2</v>
      </c>
      <c r="B139" s="0" t="n">
        <f aca="false">IFERROR(__xludf.dummyfunction("""COMPUTED_VALUE"""),10025)</f>
        <v>10025</v>
      </c>
      <c r="C139" s="24" t="n">
        <f aca="false">IFERROR(__xludf.dummyfunction("""COMPUTED_VALUE"""),10)</f>
        <v>10</v>
      </c>
      <c r="D139" s="0" t="n">
        <f aca="false">IFERROR(__xludf.dummyfunction("""COMPUTED_VALUE"""),1)</f>
        <v>1</v>
      </c>
      <c r="E139" s="0" t="n">
        <f aca="false">IFERROR(__xludf.dummyfunction("""COMPUTED_VALUE"""),20)</f>
        <v>20</v>
      </c>
      <c r="F139" s="0" t="str">
        <f aca="false">IFERROR(__xludf.dummyfunction("filter(Formulas!$C:$C,Formulas!$A:$A=B139)"),"""formula"":[{""sku"":""1201"",""req"":1},{""sku"":""1116"",""req"":1},{""sku"":""1210"",""req"":1},{""sku"":""1114"",""req"":1},{""sku"":""1115"",""req"":1},{""sku"":""1013"",""req"":5}]")</f>
        <v>"formula":[{"sku":"1201","req":1},{"sku":"1116","req":1},{"sku":"1210","req":1},{"sku":"1114","req":1},{"sku":"1115","req":1},{"sku":"1013","req":5}]</v>
      </c>
      <c r="G139" s="0" t="n">
        <f aca="false">IFERROR(__xludf.dummyfunction("""COMPUTED_VALUE"""),1)</f>
        <v>1</v>
      </c>
      <c r="H139" s="21" t="str">
        <f aca="false">IFERROR(__xludf.dummyfunction("IF(D139,filter(Productos!AC:AC,Productos!A:A=B139),)"),"cocina")</f>
        <v>cocina</v>
      </c>
      <c r="I139" s="24" t="n">
        <f aca="false">IFERROR(__xludf.dummyfunction("""COMPUTED_VALUE"""),4900)</f>
        <v>4900</v>
      </c>
      <c r="K139" s="0" t="str">
        <f aca="false">IF(D139,"{""sku"":"""&amp;B139&amp;""", ""costo"":"&amp;C139&amp;", ""grupo"":"""&amp;A139&amp;""", ""lote"":"&amp;D139&amp;", ""tiempo"":"&amp;E139&amp;", "&amp;F139&amp;", ""vencimiento"":"&amp;G139&amp;IF(I139,", ""precio"":"&amp;I139,)&amp;", ""tipo"":"""&amp;H139&amp;"""},",)</f>
        <v>{"sku":"10025", "costo":10, "grupo":"2", "lote":1, "tiempo":20, "formula":[{"sku":"1201","req":1},{"sku":"1116","req":1},{"sku":"1210","req":1},{"sku":"1114","req":1},{"sku":"1115","req":1},{"sku":"1013","req":5}], "vencimiento":1, "precio":4900, "tipo":"cocina"},</v>
      </c>
    </row>
    <row r="140" customFormat="false" ht="13" hidden="false" customHeight="false" outlineLevel="0" collapsed="false">
      <c r="A140" s="16" t="n">
        <v>2</v>
      </c>
      <c r="B140" s="0" t="n">
        <f aca="false">IFERROR(__xludf.dummyfunction("""COMPUTED_VALUE"""),20001)</f>
        <v>20001</v>
      </c>
      <c r="C140" s="24" t="n">
        <f aca="false">IFERROR(__xludf.dummyfunction("""COMPUTED_VALUE"""),10)</f>
        <v>10</v>
      </c>
      <c r="D140" s="0" t="n">
        <f aca="false">IFERROR(__xludf.dummyfunction("""COMPUTED_VALUE"""),1)</f>
        <v>1</v>
      </c>
      <c r="E140" s="0" t="n">
        <f aca="false">IFERROR(__xludf.dummyfunction("""COMPUTED_VALUE"""),10)</f>
        <v>10</v>
      </c>
      <c r="F140" s="0" t="str">
        <f aca="false">IFERROR(__xludf.dummyfunction("filter(Formulas!$C:$C,Formulas!$A:$A=B140)"),"""formula"":[{""sku"":""1301"",""req"":1},{""sku"":""1207"",""req"":1},{""sku"":""1310"",""req"":1},{""sku"":""1112"",""req"":1},{""sku"":""1216"",""req"":1}]")</f>
        <v>"formula":[{"sku":"1301","req":1},{"sku":"1207","req":1},{"sku":"1310","req":1},{"sku":"1112","req":1},{"sku":"1216","req":1}]</v>
      </c>
      <c r="G140" s="0" t="n">
        <f aca="false">IFERROR(__xludf.dummyfunction("""COMPUTED_VALUE"""),1)</f>
        <v>1</v>
      </c>
      <c r="H140" s="21" t="str">
        <f aca="false">IFERROR(__xludf.dummyfunction("IF(D140,filter(Productos!AC:AC,Productos!A:A=B140),)"),"cocina")</f>
        <v>cocina</v>
      </c>
      <c r="I140" s="24" t="n">
        <f aca="false">IFERROR(__xludf.dummyfunction("""COMPUTED_VALUE"""),2700)</f>
        <v>2700</v>
      </c>
      <c r="K140" s="0" t="str">
        <f aca="false">IF(D140,"{""sku"":"""&amp;B140&amp;""", ""costo"":"&amp;C140&amp;", ""grupo"":"""&amp;A140&amp;""", ""lote"":"&amp;D140&amp;", ""tiempo"":"&amp;E140&amp;", "&amp;F140&amp;", ""vencimiento"":"&amp;G140&amp;IF(I140,", ""precio"":"&amp;I140,)&amp;", ""tipo"":"""&amp;H140&amp;"""},",)</f>
        <v>{"sku":"20001", "costo":10, "grupo":"2", "lote":1, "tiempo":10, "formula":[{"sku":"1301","req":1},{"sku":"1207","req":1},{"sku":"1310","req":1},{"sku":"1112","req":1},{"sku":"1216","req":1}], "vencimiento":1, "precio":2700, "tipo":"cocina"},</v>
      </c>
    </row>
    <row r="141" customFormat="false" ht="13" hidden="false" customHeight="false" outlineLevel="0" collapsed="false">
      <c r="A141" s="16" t="n">
        <v>2</v>
      </c>
      <c r="B141" s="0" t="n">
        <f aca="false">IFERROR(__xludf.dummyfunction("""COMPUTED_VALUE"""),20002)</f>
        <v>20002</v>
      </c>
      <c r="C141" s="24" t="n">
        <f aca="false">IFERROR(__xludf.dummyfunction("""COMPUTED_VALUE"""),10)</f>
        <v>10</v>
      </c>
      <c r="D141" s="0" t="n">
        <f aca="false">IFERROR(__xludf.dummyfunction("""COMPUTED_VALUE"""),1)</f>
        <v>1</v>
      </c>
      <c r="E141" s="0" t="n">
        <f aca="false">IFERROR(__xludf.dummyfunction("""COMPUTED_VALUE"""),10)</f>
        <v>10</v>
      </c>
      <c r="F141" s="0" t="str">
        <f aca="false">IFERROR(__xludf.dummyfunction("filter(Formulas!$C:$C,Formulas!$A:$A=B141)"),"""formula"":[{""sku"":""1301"",""req"":1},{""sku"":""1216"",""req"":1},{""sku"":""1106"",""req"":4}]")</f>
        <v>"formula":[{"sku":"1301","req":1},{"sku":"1216","req":1},{"sku":"1106","req":4}]</v>
      </c>
      <c r="G141" s="0" t="n">
        <f aca="false">IFERROR(__xludf.dummyfunction("""COMPUTED_VALUE"""),1)</f>
        <v>1</v>
      </c>
      <c r="H141" s="21" t="str">
        <f aca="false">IFERROR(__xludf.dummyfunction("IF(D141,filter(Productos!AC:AC,Productos!A:A=B141),)"),"cocina")</f>
        <v>cocina</v>
      </c>
      <c r="I141" s="24" t="n">
        <f aca="false">IFERROR(__xludf.dummyfunction("""COMPUTED_VALUE"""),2700)</f>
        <v>2700</v>
      </c>
      <c r="K141" s="0" t="str">
        <f aca="false">IF(D141,"{""sku"":"""&amp;B141&amp;""", ""costo"":"&amp;C141&amp;", ""grupo"":"""&amp;A141&amp;""", ""lote"":"&amp;D141&amp;", ""tiempo"":"&amp;E141&amp;", "&amp;F141&amp;", ""vencimiento"":"&amp;G141&amp;IF(I141,", ""precio"":"&amp;I141,)&amp;", ""tipo"":"""&amp;H141&amp;"""},",)</f>
        <v>{"sku":"20002", "costo":10, "grupo":"2", "lote":1, "tiempo":10, "formula":[{"sku":"1301","req":1},{"sku":"1216","req":1},{"sku":"1106","req":4}], "vencimiento":1, "precio":2700, "tipo":"cocina"},</v>
      </c>
    </row>
    <row r="142" customFormat="false" ht="13" hidden="false" customHeight="false" outlineLevel="0" collapsed="false">
      <c r="A142" s="16" t="n">
        <v>2</v>
      </c>
      <c r="B142" s="0" t="n">
        <f aca="false">IFERROR(__xludf.dummyfunction("""COMPUTED_VALUE"""),20003)</f>
        <v>20003</v>
      </c>
      <c r="C142" s="24" t="n">
        <f aca="false">IFERROR(__xludf.dummyfunction("""COMPUTED_VALUE"""),10)</f>
        <v>10</v>
      </c>
      <c r="D142" s="0" t="n">
        <f aca="false">IFERROR(__xludf.dummyfunction("""COMPUTED_VALUE"""),1)</f>
        <v>1</v>
      </c>
      <c r="E142" s="0" t="n">
        <f aca="false">IFERROR(__xludf.dummyfunction("""COMPUTED_VALUE"""),10)</f>
        <v>10</v>
      </c>
      <c r="F142" s="0" t="str">
        <f aca="false">IFERROR(__xludf.dummyfunction("filter(Formulas!$C:$C,Formulas!$A:$A=B142)"),"""formula"":[{""sku"":""1301"",""req"":1},{""sku"":""1216"",""req"":1},{""sku"":""1207"",""req"":1}]")</f>
        <v>"formula":[{"sku":"1301","req":1},{"sku":"1216","req":1},{"sku":"1207","req":1}]</v>
      </c>
      <c r="G142" s="0" t="n">
        <f aca="false">IFERROR(__xludf.dummyfunction("""COMPUTED_VALUE"""),1)</f>
        <v>1</v>
      </c>
      <c r="H142" s="21" t="str">
        <f aca="false">IFERROR(__xludf.dummyfunction("IF(D142,filter(Productos!AC:AC,Productos!A:A=B142),)"),"cocina")</f>
        <v>cocina</v>
      </c>
      <c r="I142" s="24" t="n">
        <f aca="false">IFERROR(__xludf.dummyfunction("""COMPUTED_VALUE"""),2700)</f>
        <v>2700</v>
      </c>
      <c r="K142" s="0" t="str">
        <f aca="false">IF(D142,"{""sku"":"""&amp;B142&amp;""", ""costo"":"&amp;C142&amp;", ""grupo"":"""&amp;A142&amp;""", ""lote"":"&amp;D142&amp;", ""tiempo"":"&amp;E142&amp;", "&amp;F142&amp;", ""vencimiento"":"&amp;G142&amp;IF(I142,", ""precio"":"&amp;I142,)&amp;", ""tipo"":"""&amp;H142&amp;"""},",)</f>
        <v>{"sku":"20003", "costo":10, "grupo":"2", "lote":1, "tiempo":10, "formula":[{"sku":"1301","req":1},{"sku":"1216","req":1},{"sku":"1207","req":1}], "vencimiento":1, "precio":2700, "tipo":"cocina"},</v>
      </c>
    </row>
    <row r="143" customFormat="false" ht="13" hidden="false" customHeight="false" outlineLevel="0" collapsed="false">
      <c r="A143" s="16" t="n">
        <v>2</v>
      </c>
      <c r="B143" s="0" t="n">
        <f aca="false">IFERROR(__xludf.dummyfunction("""COMPUTED_VALUE"""),20004)</f>
        <v>20004</v>
      </c>
      <c r="C143" s="24" t="n">
        <f aca="false">IFERROR(__xludf.dummyfunction("""COMPUTED_VALUE"""),10)</f>
        <v>10</v>
      </c>
      <c r="D143" s="0" t="n">
        <f aca="false">IFERROR(__xludf.dummyfunction("""COMPUTED_VALUE"""),1)</f>
        <v>1</v>
      </c>
      <c r="E143" s="0" t="n">
        <f aca="false">IFERROR(__xludf.dummyfunction("""COMPUTED_VALUE"""),10)</f>
        <v>10</v>
      </c>
      <c r="F143" s="0" t="str">
        <f aca="false">IFERROR(__xludf.dummyfunction("filter(Formulas!$C:$C,Formulas!$A:$A=B143)"),"""formula"":[{""sku"":""1301"",""req"":1},{""sku"":""1216"",""req"":1},{""sku"":""1209"",""req"":1}]")</f>
        <v>"formula":[{"sku":"1301","req":1},{"sku":"1216","req":1},{"sku":"1209","req":1}]</v>
      </c>
      <c r="G143" s="0" t="n">
        <f aca="false">IFERROR(__xludf.dummyfunction("""COMPUTED_VALUE"""),1)</f>
        <v>1</v>
      </c>
      <c r="H143" s="21" t="str">
        <f aca="false">IFERROR(__xludf.dummyfunction("IF(D143,filter(Productos!AC:AC,Productos!A:A=B143),)"),"cocina")</f>
        <v>cocina</v>
      </c>
      <c r="I143" s="24" t="n">
        <f aca="false">IFERROR(__xludf.dummyfunction("""COMPUTED_VALUE"""),2700)</f>
        <v>2700</v>
      </c>
      <c r="K143" s="0" t="str">
        <f aca="false">IF(D143,"{""sku"":"""&amp;B143&amp;""", ""costo"":"&amp;C143&amp;", ""grupo"":"""&amp;A143&amp;""", ""lote"":"&amp;D143&amp;", ""tiempo"":"&amp;E143&amp;", "&amp;F143&amp;", ""vencimiento"":"&amp;G143&amp;IF(I143,", ""precio"":"&amp;I143,)&amp;", ""tipo"":"""&amp;H143&amp;"""},",)</f>
        <v>{"sku":"20004", "costo":10, "grupo":"2", "lote":1, "tiempo":10, "formula":[{"sku":"1301","req":1},{"sku":"1216","req":1},{"sku":"1209","req":1}], "vencimiento":1, "precio":2700, "tipo":"cocina"},</v>
      </c>
    </row>
    <row r="144" customFormat="false" ht="13" hidden="false" customHeight="false" outlineLevel="0" collapsed="false">
      <c r="A144" s="16" t="n">
        <v>2</v>
      </c>
      <c r="B144" s="0" t="n">
        <f aca="false">IFERROR(__xludf.dummyfunction("""COMPUTED_VALUE"""),20005)</f>
        <v>20005</v>
      </c>
      <c r="C144" s="24" t="n">
        <f aca="false">IFERROR(__xludf.dummyfunction("""COMPUTED_VALUE"""),10)</f>
        <v>10</v>
      </c>
      <c r="D144" s="0" t="n">
        <f aca="false">IFERROR(__xludf.dummyfunction("""COMPUTED_VALUE"""),1)</f>
        <v>1</v>
      </c>
      <c r="E144" s="0" t="n">
        <f aca="false">IFERROR(__xludf.dummyfunction("""COMPUTED_VALUE"""),20)</f>
        <v>20</v>
      </c>
      <c r="F144" s="0" t="str">
        <f aca="false">IFERROR(__xludf.dummyfunction("filter(Formulas!$C:$C,Formulas!$A:$A=B144)"),"""formula"":[{""sku"":""1301"",""req"":1},{""sku"":""1216"",""req"":1},{""sku"":""1209"",""req"":1},{""sku"":""1310"",""req"":1},{""sku"":""1112"",""req"":1}]")</f>
        <v>"formula":[{"sku":"1301","req":1},{"sku":"1216","req":1},{"sku":"1209","req":1},{"sku":"1310","req":1},{"sku":"1112","req":1}]</v>
      </c>
      <c r="G144" s="0" t="n">
        <f aca="false">IFERROR(__xludf.dummyfunction("""COMPUTED_VALUE"""),1)</f>
        <v>1</v>
      </c>
      <c r="H144" s="21" t="str">
        <f aca="false">IFERROR(__xludf.dummyfunction("IF(D144,filter(Productos!AC:AC,Productos!A:A=B144),)"),"cocina")</f>
        <v>cocina</v>
      </c>
      <c r="I144" s="24" t="n">
        <f aca="false">IFERROR(__xludf.dummyfunction("""COMPUTED_VALUE"""),2700)</f>
        <v>2700</v>
      </c>
      <c r="K144" s="0" t="str">
        <f aca="false">IF(D144,"{""sku"":"""&amp;B144&amp;""", ""costo"":"&amp;C144&amp;", ""grupo"":"""&amp;A144&amp;""", ""lote"":"&amp;D144&amp;", ""tiempo"":"&amp;E144&amp;", "&amp;F144&amp;", ""vencimiento"":"&amp;G144&amp;IF(I144,", ""precio"":"&amp;I144,)&amp;", ""tipo"":"""&amp;H144&amp;"""},",)</f>
        <v>{"sku":"20005", "costo":10, "grupo":"2", "lote":1, "tiempo":20, "formula":[{"sku":"1301","req":1},{"sku":"1216","req":1},{"sku":"1209","req":1},{"sku":"1310","req":1},{"sku":"1112","req":1}], "vencimiento":1, "precio":2700, "tipo":"cocina"},</v>
      </c>
    </row>
    <row r="145" customFormat="false" ht="13" hidden="false" customHeight="false" outlineLevel="0" collapsed="false">
      <c r="A145" s="16" t="n">
        <v>2</v>
      </c>
      <c r="B145" s="0" t="n">
        <f aca="false">IFERROR(__xludf.dummyfunction("""COMPUTED_VALUE"""),30001)</f>
        <v>30001</v>
      </c>
      <c r="C145" s="24" t="n">
        <f aca="false">IFERROR(__xludf.dummyfunction("""COMPUTED_VALUE"""),10)</f>
        <v>10</v>
      </c>
      <c r="D145" s="0" t="n">
        <f aca="false">IFERROR(__xludf.dummyfunction("""COMPUTED_VALUE"""),1)</f>
        <v>1</v>
      </c>
      <c r="E145" s="0" t="n">
        <f aca="false">IFERROR(__xludf.dummyfunction("""COMPUTED_VALUE"""),10)</f>
        <v>10</v>
      </c>
      <c r="F145" s="0" t="str">
        <f aca="false">IFERROR(__xludf.dummyfunction("filter(Formulas!$C:$C,Formulas!$A:$A=B145)"),"""formula"":[{""sku"":""1307"",""req"":3}]")</f>
        <v>"formula":[{"sku":"1307","req":3}]</v>
      </c>
      <c r="G145" s="0" t="n">
        <f aca="false">IFERROR(__xludf.dummyfunction("""COMPUTED_VALUE"""),1)</f>
        <v>1</v>
      </c>
      <c r="H145" s="21" t="str">
        <f aca="false">IFERROR(__xludf.dummyfunction("IF(D145,filter(Productos!AC:AC,Productos!A:A=B145),)"),"cocina")</f>
        <v>cocina</v>
      </c>
      <c r="I145" s="24" t="n">
        <f aca="false">IFERROR(__xludf.dummyfunction("""COMPUTED_VALUE"""),7900)</f>
        <v>7900</v>
      </c>
      <c r="K145" s="0" t="str">
        <f aca="false">IF(D145,"{""sku"":"""&amp;B145&amp;""", ""costo"":"&amp;C145&amp;", ""grupo"":"""&amp;A145&amp;""", ""lote"":"&amp;D145&amp;", ""tiempo"":"&amp;E145&amp;", "&amp;F145&amp;", ""vencimiento"":"&amp;G145&amp;IF(I145,", ""precio"":"&amp;I145,)&amp;", ""tipo"":"""&amp;H145&amp;"""},",)</f>
        <v>{"sku":"30001", "costo":10, "grupo":"2", "lote":1, "tiempo":10, "formula":[{"sku":"1307","req":3}], "vencimiento":1, "precio":7900, "tipo":"cocina"},</v>
      </c>
    </row>
    <row r="146" customFormat="false" ht="13" hidden="false" customHeight="false" outlineLevel="0" collapsed="false">
      <c r="A146" s="16" t="n">
        <v>2</v>
      </c>
      <c r="B146" s="0" t="n">
        <f aca="false">IFERROR(__xludf.dummyfunction("""COMPUTED_VALUE"""),30002)</f>
        <v>30002</v>
      </c>
      <c r="C146" s="24" t="n">
        <f aca="false">IFERROR(__xludf.dummyfunction("""COMPUTED_VALUE"""),10)</f>
        <v>10</v>
      </c>
      <c r="D146" s="0" t="n">
        <f aca="false">IFERROR(__xludf.dummyfunction("""COMPUTED_VALUE"""),1)</f>
        <v>1</v>
      </c>
      <c r="E146" s="0" t="n">
        <f aca="false">IFERROR(__xludf.dummyfunction("""COMPUTED_VALUE"""),10)</f>
        <v>10</v>
      </c>
      <c r="F146" s="0" t="str">
        <f aca="false">IFERROR(__xludf.dummyfunction("filter(Formulas!$C:$C,Formulas!$A:$A=B146)"),"""formula"":[{""sku"":""1307"",""req"":4}]")</f>
        <v>"formula":[{"sku":"1307","req":4}]</v>
      </c>
      <c r="G146" s="0" t="n">
        <f aca="false">IFERROR(__xludf.dummyfunction("""COMPUTED_VALUE"""),1)</f>
        <v>1</v>
      </c>
      <c r="H146" s="21" t="str">
        <f aca="false">IFERROR(__xludf.dummyfunction("IF(D146,filter(Productos!AC:AC,Productos!A:A=B146),)"),"cocina")</f>
        <v>cocina</v>
      </c>
      <c r="I146" s="24" t="n">
        <f aca="false">IFERROR(__xludf.dummyfunction("""COMPUTED_VALUE"""),9900)</f>
        <v>9900</v>
      </c>
      <c r="K146" s="0" t="str">
        <f aca="false">IF(D146,"{""sku"":"""&amp;B146&amp;""", ""costo"":"&amp;C146&amp;", ""grupo"":"""&amp;A146&amp;""", ""lote"":"&amp;D146&amp;", ""tiempo"":"&amp;E146&amp;", "&amp;F146&amp;", ""vencimiento"":"&amp;G146&amp;IF(I146,", ""precio"":"&amp;I146,)&amp;", ""tipo"":"""&amp;H146&amp;"""},",)</f>
        <v>{"sku":"30002", "costo":10, "grupo":"2", "lote":1, "tiempo":10, "formula":[{"sku":"1307","req":4}], "vencimiento":1, "precio":9900, "tipo":"cocina"},</v>
      </c>
    </row>
    <row r="147" customFormat="false" ht="13" hidden="false" customHeight="false" outlineLevel="0" collapsed="false">
      <c r="A147" s="16" t="n">
        <v>2</v>
      </c>
      <c r="B147" s="0" t="n">
        <f aca="false">IFERROR(__xludf.dummyfunction("""COMPUTED_VALUE"""),30003)</f>
        <v>30003</v>
      </c>
      <c r="C147" s="24" t="n">
        <f aca="false">IFERROR(__xludf.dummyfunction("""COMPUTED_VALUE"""),10)</f>
        <v>10</v>
      </c>
      <c r="D147" s="0" t="n">
        <f aca="false">IFERROR(__xludf.dummyfunction("""COMPUTED_VALUE"""),1)</f>
        <v>1</v>
      </c>
      <c r="E147" s="0" t="n">
        <f aca="false">IFERROR(__xludf.dummyfunction("""COMPUTED_VALUE"""),10)</f>
        <v>10</v>
      </c>
      <c r="F147" s="0" t="str">
        <f aca="false">IFERROR(__xludf.dummyfunction("filter(Formulas!$C:$C,Formulas!$A:$A=B147)"),"""formula"":[{""sku"":""1307"",""req"":5}]")</f>
        <v>"formula":[{"sku":"1307","req":5}]</v>
      </c>
      <c r="G147" s="0" t="n">
        <f aca="false">IFERROR(__xludf.dummyfunction("""COMPUTED_VALUE"""),1)</f>
        <v>1</v>
      </c>
      <c r="H147" s="21" t="str">
        <f aca="false">IFERROR(__xludf.dummyfunction("IF(D147,filter(Productos!AC:AC,Productos!A:A=B147),)"),"cocina")</f>
        <v>cocina</v>
      </c>
      <c r="I147" s="24" t="n">
        <f aca="false">IFERROR(__xludf.dummyfunction("""COMPUTED_VALUE"""),12500)</f>
        <v>12500</v>
      </c>
      <c r="K147" s="0" t="str">
        <f aca="false">IF(D147,"{""sku"":"""&amp;B147&amp;""", ""costo"":"&amp;C147&amp;", ""grupo"":"""&amp;A147&amp;""", ""lote"":"&amp;D147&amp;", ""tiempo"":"&amp;E147&amp;", "&amp;F147&amp;", ""vencimiento"":"&amp;G147&amp;IF(I147,", ""precio"":"&amp;I147,)&amp;", ""tipo"":"""&amp;H147&amp;"""},",)</f>
        <v>{"sku":"30003", "costo":10, "grupo":"2", "lote":1, "tiempo":10, "formula":[{"sku":"1307","req":5}], "vencimiento":1, "precio":12500, "tipo":"cocina"},</v>
      </c>
    </row>
    <row r="148" customFormat="false" ht="13" hidden="false" customHeight="false" outlineLevel="0" collapsed="false">
      <c r="A148" s="16" t="n">
        <v>2</v>
      </c>
      <c r="B148" s="0" t="n">
        <f aca="false">IFERROR(__xludf.dummyfunction("""COMPUTED_VALUE"""),30004)</f>
        <v>30004</v>
      </c>
      <c r="C148" s="24" t="n">
        <f aca="false">IFERROR(__xludf.dummyfunction("""COMPUTED_VALUE"""),10)</f>
        <v>10</v>
      </c>
      <c r="D148" s="0" t="n">
        <f aca="false">IFERROR(__xludf.dummyfunction("""COMPUTED_VALUE"""),1)</f>
        <v>1</v>
      </c>
      <c r="E148" s="0" t="n">
        <f aca="false">IFERROR(__xludf.dummyfunction("""COMPUTED_VALUE"""),10)</f>
        <v>10</v>
      </c>
      <c r="F148" s="0" t="str">
        <f aca="false">IFERROR(__xludf.dummyfunction("filter(Formulas!$C:$C,Formulas!$A:$A=B148)"),"""formula"":[{""sku"":""1309"",""req"":3}]")</f>
        <v>"formula":[{"sku":"1309","req":3}]</v>
      </c>
      <c r="G148" s="0" t="n">
        <f aca="false">IFERROR(__xludf.dummyfunction("""COMPUTED_VALUE"""),1)</f>
        <v>1</v>
      </c>
      <c r="H148" s="21" t="str">
        <f aca="false">IFERROR(__xludf.dummyfunction("IF(D148,filter(Productos!AC:AC,Productos!A:A=B148),)"),"cocina")</f>
        <v>cocina</v>
      </c>
      <c r="I148" s="24" t="n">
        <f aca="false">IFERROR(__xludf.dummyfunction("""COMPUTED_VALUE"""),7900)</f>
        <v>7900</v>
      </c>
      <c r="K148" s="0" t="str">
        <f aca="false">IF(D148,"{""sku"":"""&amp;B148&amp;""", ""costo"":"&amp;C148&amp;", ""grupo"":"""&amp;A148&amp;""", ""lote"":"&amp;D148&amp;", ""tiempo"":"&amp;E148&amp;", "&amp;F148&amp;", ""vencimiento"":"&amp;G148&amp;IF(I148,", ""precio"":"&amp;I148,)&amp;", ""tipo"":"""&amp;H148&amp;"""},",)</f>
        <v>{"sku":"30004", "costo":10, "grupo":"2", "lote":1, "tiempo":10, "formula":[{"sku":"1309","req":3}], "vencimiento":1, "precio":7900, "tipo":"cocina"},</v>
      </c>
    </row>
    <row r="149" customFormat="false" ht="13" hidden="false" customHeight="false" outlineLevel="0" collapsed="false">
      <c r="A149" s="16" t="n">
        <v>2</v>
      </c>
      <c r="B149" s="0" t="n">
        <f aca="false">IFERROR(__xludf.dummyfunction("""COMPUTED_VALUE"""),30005)</f>
        <v>30005</v>
      </c>
      <c r="C149" s="24" t="n">
        <f aca="false">IFERROR(__xludf.dummyfunction("""COMPUTED_VALUE"""),10)</f>
        <v>10</v>
      </c>
      <c r="D149" s="0" t="n">
        <f aca="false">IFERROR(__xludf.dummyfunction("""COMPUTED_VALUE"""),1)</f>
        <v>1</v>
      </c>
      <c r="E149" s="0" t="n">
        <f aca="false">IFERROR(__xludf.dummyfunction("""COMPUTED_VALUE"""),10)</f>
        <v>10</v>
      </c>
      <c r="F149" s="0" t="str">
        <f aca="false">IFERROR(__xludf.dummyfunction("filter(Formulas!$C:$C,Formulas!$A:$A=B149)"),"""formula"":[{""sku"":""1309"",""req"":4}]")</f>
        <v>"formula":[{"sku":"1309","req":4}]</v>
      </c>
      <c r="G149" s="0" t="n">
        <f aca="false">IFERROR(__xludf.dummyfunction("""COMPUTED_VALUE"""),1)</f>
        <v>1</v>
      </c>
      <c r="H149" s="21" t="str">
        <f aca="false">IFERROR(__xludf.dummyfunction("IF(D149,filter(Productos!AC:AC,Productos!A:A=B149),)"),"cocina")</f>
        <v>cocina</v>
      </c>
      <c r="I149" s="24" t="n">
        <f aca="false">IFERROR(__xludf.dummyfunction("""COMPUTED_VALUE"""),9900)</f>
        <v>9900</v>
      </c>
      <c r="K149" s="0" t="str">
        <f aca="false">IF(D149,"{""sku"":"""&amp;B149&amp;""", ""costo"":"&amp;C149&amp;", ""grupo"":"""&amp;A149&amp;""", ""lote"":"&amp;D149&amp;", ""tiempo"":"&amp;E149&amp;", "&amp;F149&amp;", ""vencimiento"":"&amp;G149&amp;IF(I149,", ""precio"":"&amp;I149,)&amp;", ""tipo"":"""&amp;H149&amp;"""},",)</f>
        <v>{"sku":"30005", "costo":10, "grupo":"2", "lote":1, "tiempo":10, "formula":[{"sku":"1309","req":4}], "vencimiento":1, "precio":9900, "tipo":"cocina"},</v>
      </c>
    </row>
    <row r="150" customFormat="false" ht="13" hidden="false" customHeight="false" outlineLevel="0" collapsed="false">
      <c r="A150" s="16" t="n">
        <v>2</v>
      </c>
      <c r="B150" s="0" t="n">
        <f aca="false">IFERROR(__xludf.dummyfunction("""COMPUTED_VALUE"""),30006)</f>
        <v>30006</v>
      </c>
      <c r="C150" s="24" t="n">
        <f aca="false">IFERROR(__xludf.dummyfunction("""COMPUTED_VALUE"""),10)</f>
        <v>10</v>
      </c>
      <c r="D150" s="0" t="n">
        <f aca="false">IFERROR(__xludf.dummyfunction("""COMPUTED_VALUE"""),1)</f>
        <v>1</v>
      </c>
      <c r="E150" s="0" t="n">
        <f aca="false">IFERROR(__xludf.dummyfunction("""COMPUTED_VALUE"""),10)</f>
        <v>10</v>
      </c>
      <c r="F150" s="0" t="str">
        <f aca="false">IFERROR(__xludf.dummyfunction("filter(Formulas!$C:$C,Formulas!$A:$A=B150)"),"""formula"":[{""sku"":""1309"",""req"":5}]")</f>
        <v>"formula":[{"sku":"1309","req":5}]</v>
      </c>
      <c r="G150" s="0" t="n">
        <f aca="false">IFERROR(__xludf.dummyfunction("""COMPUTED_VALUE"""),1)</f>
        <v>1</v>
      </c>
      <c r="H150" s="21" t="str">
        <f aca="false">IFERROR(__xludf.dummyfunction("IF(D150,filter(Productos!AC:AC,Productos!A:A=B150),)"),"cocina")</f>
        <v>cocina</v>
      </c>
      <c r="I150" s="24" t="n">
        <f aca="false">IFERROR(__xludf.dummyfunction("""COMPUTED_VALUE"""),12500)</f>
        <v>12500</v>
      </c>
      <c r="K150" s="0" t="str">
        <f aca="false">IF(D150,"{""sku"":"""&amp;B150&amp;""", ""costo"":"&amp;C150&amp;", ""grupo"":"""&amp;A150&amp;""", ""lote"":"&amp;D150&amp;", ""tiempo"":"&amp;E150&amp;", "&amp;F150&amp;", ""vencimiento"":"&amp;G150&amp;IF(I150,", ""precio"":"&amp;I150,)&amp;", ""tipo"":"""&amp;H150&amp;"""},",)</f>
        <v>{"sku":"30006", "costo":10, "grupo":"2", "lote":1, "tiempo":10, "formula":[{"sku":"1309","req":5}], "vencimiento":1, "precio":12500, "tipo":"cocina"},</v>
      </c>
    </row>
    <row r="151" customFormat="false" ht="13" hidden="false" customHeight="false" outlineLevel="0" collapsed="false">
      <c r="A151" s="16" t="n">
        <v>2</v>
      </c>
      <c r="B151" s="0" t="n">
        <f aca="false">IFERROR(__xludf.dummyfunction("""COMPUTED_VALUE"""),30007)</f>
        <v>30007</v>
      </c>
      <c r="C151" s="24" t="n">
        <f aca="false">IFERROR(__xludf.dummyfunction("""COMPUTED_VALUE"""),10)</f>
        <v>10</v>
      </c>
      <c r="D151" s="0" t="n">
        <f aca="false">IFERROR(__xludf.dummyfunction("""COMPUTED_VALUE"""),1)</f>
        <v>1</v>
      </c>
      <c r="E151" s="0" t="n">
        <f aca="false">IFERROR(__xludf.dummyfunction("""COMPUTED_VALUE"""),10)</f>
        <v>10</v>
      </c>
      <c r="F151" s="0" t="str">
        <f aca="false">IFERROR(__xludf.dummyfunction("filter(Formulas!$C:$C,Formulas!$A:$A=B151)"),"""formula"":[{""sku"":""1309"",""req"":2},{""sku"":""1307"",""req"":2}]")</f>
        <v>"formula":[{"sku":"1309","req":2},{"sku":"1307","req":2}]</v>
      </c>
      <c r="G151" s="0" t="n">
        <f aca="false">IFERROR(__xludf.dummyfunction("""COMPUTED_VALUE"""),1)</f>
        <v>1</v>
      </c>
      <c r="H151" s="21" t="str">
        <f aca="false">IFERROR(__xludf.dummyfunction("IF(D151,filter(Productos!AC:AC,Productos!A:A=B151),)"),"cocina")</f>
        <v>cocina</v>
      </c>
      <c r="I151" s="24" t="n">
        <f aca="false">IFERROR(__xludf.dummyfunction("""COMPUTED_VALUE"""),9900)</f>
        <v>9900</v>
      </c>
      <c r="K151" s="0" t="str">
        <f aca="false">IF(D151,"{""sku"":"""&amp;B151&amp;""", ""costo"":"&amp;C151&amp;", ""grupo"":"""&amp;A151&amp;""", ""lote"":"&amp;D151&amp;", ""tiempo"":"&amp;E151&amp;", "&amp;F151&amp;", ""vencimiento"":"&amp;G151&amp;IF(I151,", ""precio"":"&amp;I151,)&amp;", ""tipo"":"""&amp;H151&amp;"""},",)</f>
        <v>{"sku":"30007", "costo":10, "grupo":"2", "lote":1, "tiempo":10, "formula":[{"sku":"1309","req":2},{"sku":"1307","req":2}], "vencimiento":1, "precio":9900, "tipo":"cocina"},</v>
      </c>
    </row>
    <row r="152" customFormat="false" ht="13" hidden="false" customHeight="false" outlineLevel="0" collapsed="false">
      <c r="A152" s="16" t="n">
        <v>2</v>
      </c>
      <c r="B152" s="0" t="n">
        <f aca="false">IFERROR(__xludf.dummyfunction("""COMPUTED_VALUE"""),30008)</f>
        <v>30008</v>
      </c>
      <c r="C152" s="24" t="n">
        <f aca="false">IFERROR(__xludf.dummyfunction("""COMPUTED_VALUE"""),10)</f>
        <v>10</v>
      </c>
      <c r="D152" s="0" t="n">
        <f aca="false">IFERROR(__xludf.dummyfunction("""COMPUTED_VALUE"""),1)</f>
        <v>1</v>
      </c>
      <c r="E152" s="0" t="n">
        <f aca="false">IFERROR(__xludf.dummyfunction("""COMPUTED_VALUE"""),10)</f>
        <v>10</v>
      </c>
      <c r="F152" s="0" t="str">
        <f aca="false">IFERROR(__xludf.dummyfunction("filter(Formulas!$C:$C,Formulas!$A:$A=B152)"),"""formula"":[{""sku"":""1309"",""req"":3},{""sku"":""1307"",""req"":3}]")</f>
        <v>"formula":[{"sku":"1309","req":3},{"sku":"1307","req":3}]</v>
      </c>
      <c r="G152" s="0" t="n">
        <f aca="false">IFERROR(__xludf.dummyfunction("""COMPUTED_VALUE"""),1)</f>
        <v>1</v>
      </c>
      <c r="H152" s="21" t="str">
        <f aca="false">IFERROR(__xludf.dummyfunction("IF(D152,filter(Productos!AC:AC,Productos!A:A=B152),)"),"cocina")</f>
        <v>cocina</v>
      </c>
      <c r="I152" s="24" t="n">
        <f aca="false">IFERROR(__xludf.dummyfunction("""COMPUTED_VALUE"""),15990)</f>
        <v>15990</v>
      </c>
      <c r="K152" s="0" t="str">
        <f aca="false">IF(D152,"{""sku"":"""&amp;B152&amp;""", ""costo"":"&amp;C152&amp;", ""grupo"":"""&amp;A152&amp;""", ""lote"":"&amp;D152&amp;", ""tiempo"":"&amp;E152&amp;", "&amp;F152&amp;", ""vencimiento"":"&amp;G152&amp;IF(I152,", ""precio"":"&amp;I152,)&amp;", ""tipo"":"""&amp;H152&amp;"""},",)</f>
        <v>{"sku":"30008", "costo":10, "grupo":"2", "lote":1, "tiempo":10, "formula":[{"sku":"1309","req":3},{"sku":"1307","req":3}], "vencimiento":1, "precio":15990, "tipo":"cocina"},</v>
      </c>
    </row>
    <row r="153" customFormat="false" ht="13" hidden="false" customHeight="false" outlineLevel="0" collapsed="false">
      <c r="H153" s="21" t="str">
        <f aca="false">IFERROR(__xludf.dummyfunction("IF(D153,filter(Productos!AC:AC,Productos!A:A=B153),)"),"")</f>
        <v/>
      </c>
      <c r="K153" s="0" t="n">
        <f aca="false">IF(D153,"{""sku"":"""&amp;B153&amp;""", ""costo"":"&amp;C153&amp;", ""grupo"":"""&amp;A153&amp;""", ""lote"":"&amp;D153&amp;", ""tiempo"":"&amp;E153&amp;", "&amp;F153&amp;", ""vencimiento"":"&amp;G153&amp;IF(I153,", ""precio"":"&amp;I153,)&amp;", ""tipo"":"""&amp;H153&amp;"""},",)</f>
        <v>0</v>
      </c>
    </row>
    <row r="154" customFormat="false" ht="13" hidden="false" customHeight="false" outlineLevel="0" collapsed="false">
      <c r="A154" s="22" t="s">
        <v>242</v>
      </c>
      <c r="B154" s="16" t="s">
        <v>243</v>
      </c>
      <c r="C154" s="16"/>
      <c r="D154" s="16"/>
      <c r="E154" s="16"/>
      <c r="F154" s="16"/>
      <c r="G154" s="25"/>
      <c r="H154" s="21" t="str">
        <f aca="false">IFERROR(__xludf.dummyfunction("IF(D154,filter(Productos!AC:AC,Productos!A:A=B154),)"),"")</f>
        <v/>
      </c>
      <c r="K154" s="0" t="n">
        <f aca="false">IF(D154,"{""sku"":"""&amp;B154&amp;""", ""costo"":"&amp;C154&amp;", ""grupo"":"""&amp;A154&amp;""", ""lote"":"&amp;D154&amp;", ""tiempo"":"&amp;E154&amp;", "&amp;F154&amp;", ""vencimiento"":"&amp;G154&amp;IF(I154,", ""precio"":"&amp;I154,)&amp;", ""tipo"":"""&amp;H154&amp;"""},",)</f>
        <v>0</v>
      </c>
    </row>
    <row r="155" customFormat="false" ht="13" hidden="false" customHeight="false" outlineLevel="0" collapsed="false">
      <c r="A155" s="17" t="n">
        <v>3</v>
      </c>
      <c r="B155" s="17" t="n">
        <f aca="false">IFERROR(__xludf.dummyfunction("filter(Productos!$A$2:$A1017,INDIRECT(B154))"),1001)</f>
        <v>1001</v>
      </c>
      <c r="C155" s="24" t="n">
        <f aca="false">IFERROR(__xludf.dummyfunction("filter(Productos!$D$2:$D1017,INDIRECT(B154))"),3000)</f>
        <v>3000</v>
      </c>
      <c r="D155" s="17" t="n">
        <f aca="false">IFERROR(__xludf.dummyfunction("filter(Productos!$K$2:$L1017,INDIRECT(B154))"),10)</f>
        <v>10</v>
      </c>
      <c r="E155" s="17" t="n">
        <f aca="false">IFERROR(__xludf.dummyfunction("""COMPUTED_VALUE"""),240)</f>
        <v>240</v>
      </c>
      <c r="F155" s="16" t="str">
        <f aca="false">IFERROR(__xludf.dummyfunction("filter(Formulas!$C:$C,Formulas!$A:$A=B155)"),"""formula"":null")</f>
        <v>"formula":null</v>
      </c>
      <c r="G155" s="26" t="n">
        <f aca="false">IFERROR(__xludf.dummyfunction("filter(Productos!$H$2:$H1017,INDIRECT(B154))"),720)</f>
        <v>720</v>
      </c>
      <c r="H155" s="21" t="str">
        <f aca="false">IFERROR(__xludf.dummyfunction("IF(D155,filter(Productos!AC:AC,Productos!A:A=B155),)"),"fabrica")</f>
        <v>fabrica</v>
      </c>
      <c r="I155" s="24" t="str">
        <f aca="false">IFERROR(__xludf.dummyfunction("filter(Productos!$E$2:$E1017,INDIRECT(B154))"),"")</f>
        <v/>
      </c>
      <c r="K155" s="0" t="e">
        <f aca="false">IF(D155,"{""sku"":"""&amp;B155&amp;""", ""costo"":"&amp;C155&amp;", ""grupo"":"""&amp;A155&amp;""", ""lote"":"&amp;D155&amp;", ""tiempo"":"&amp;E155&amp;", "&amp;F155&amp;", ""vencimiento"":"&amp;G155&amp;IF(I155,", ""precio"":"&amp;I155,)&amp;", ""tipo"":"""&amp;H155&amp;"""},",)</f>
        <v>#VALUE!</v>
      </c>
    </row>
    <row r="156" customFormat="false" ht="13" hidden="false" customHeight="false" outlineLevel="0" collapsed="false">
      <c r="A156" s="16" t="n">
        <v>3</v>
      </c>
      <c r="B156" s="0" t="n">
        <f aca="false">IFERROR(__xludf.dummyfunction("""COMPUTED_VALUE"""),1002)</f>
        <v>1002</v>
      </c>
      <c r="C156" s="24" t="n">
        <f aca="false">IFERROR(__xludf.dummyfunction("""COMPUTED_VALUE"""),4590)</f>
        <v>4590</v>
      </c>
      <c r="D156" s="0" t="n">
        <f aca="false">IFERROR(__xludf.dummyfunction("""COMPUTED_VALUE"""),10)</f>
        <v>10</v>
      </c>
      <c r="E156" s="0" t="n">
        <f aca="false">IFERROR(__xludf.dummyfunction("""COMPUTED_VALUE"""),300)</f>
        <v>300</v>
      </c>
      <c r="F156" s="0" t="str">
        <f aca="false">IFERROR(__xludf.dummyfunction("filter(Formulas!$C:$C,Formulas!$A:$A=B156)"),"""formula"":null")</f>
        <v>"formula":null</v>
      </c>
      <c r="G156" s="0" t="n">
        <f aca="false">IFERROR(__xludf.dummyfunction("""COMPUTED_VALUE"""),720)</f>
        <v>720</v>
      </c>
      <c r="H156" s="21" t="str">
        <f aca="false">IFERROR(__xludf.dummyfunction("IF(D156,filter(Productos!AC:AC,Productos!A:A=B156),)"),"fabrica")</f>
        <v>fabrica</v>
      </c>
      <c r="I156" s="24" t="str">
        <f aca="false">IFERROR(__xludf.dummyfunction("""COMPUTED_VALUE"""),"")</f>
        <v/>
      </c>
      <c r="K156" s="0" t="e">
        <f aca="false">IF(D156,"{""sku"":"""&amp;B156&amp;""", ""costo"":"&amp;C156&amp;", ""grupo"":"""&amp;A156&amp;""", ""lote"":"&amp;D156&amp;", ""tiempo"":"&amp;E156&amp;", "&amp;F156&amp;", ""vencimiento"":"&amp;G156&amp;IF(I156,", ""precio"":"&amp;I156,)&amp;", ""tipo"":"""&amp;H156&amp;"""},",)</f>
        <v>#VALUE!</v>
      </c>
    </row>
    <row r="157" customFormat="false" ht="13" hidden="false" customHeight="false" outlineLevel="0" collapsed="false">
      <c r="A157" s="17" t="n">
        <v>3</v>
      </c>
      <c r="B157" s="0" t="n">
        <f aca="false">IFERROR(__xludf.dummyfunction("""COMPUTED_VALUE"""),1004)</f>
        <v>1004</v>
      </c>
      <c r="C157" s="24" t="n">
        <f aca="false">IFERROR(__xludf.dummyfunction("""COMPUTED_VALUE"""),2190)</f>
        <v>2190</v>
      </c>
      <c r="D157" s="0" t="n">
        <f aca="false">IFERROR(__xludf.dummyfunction("""COMPUTED_VALUE"""),100)</f>
        <v>100</v>
      </c>
      <c r="E157" s="0" t="n">
        <f aca="false">IFERROR(__xludf.dummyfunction("""COMPUTED_VALUE"""),400)</f>
        <v>400</v>
      </c>
      <c r="F157" s="0" t="str">
        <f aca="false">IFERROR(__xludf.dummyfunction("filter(Formulas!$C:$C,Formulas!$A:$A=B157)"),"""formula"":null")</f>
        <v>"formula":null</v>
      </c>
      <c r="G157" s="0" t="n">
        <f aca="false">IFERROR(__xludf.dummyfunction("""COMPUTED_VALUE"""),720)</f>
        <v>720</v>
      </c>
      <c r="H157" s="21" t="str">
        <f aca="false">IFERROR(__xludf.dummyfunction("IF(D157,filter(Productos!AC:AC,Productos!A:A=B157),)"),"fabrica")</f>
        <v>fabrica</v>
      </c>
      <c r="I157" s="24" t="str">
        <f aca="false">IFERROR(__xludf.dummyfunction("""COMPUTED_VALUE"""),"")</f>
        <v/>
      </c>
      <c r="K157" s="0" t="e">
        <f aca="false">IF(D157,"{""sku"":"""&amp;B157&amp;""", ""costo"":"&amp;C157&amp;", ""grupo"":"""&amp;A157&amp;""", ""lote"":"&amp;D157&amp;", ""tiempo"":"&amp;E157&amp;", "&amp;F157&amp;", ""vencimiento"":"&amp;G157&amp;IF(I157,", ""precio"":"&amp;I157,)&amp;", ""tipo"":"""&amp;H157&amp;"""},",)</f>
        <v>#VALUE!</v>
      </c>
    </row>
    <row r="158" customFormat="false" ht="13" hidden="false" customHeight="false" outlineLevel="0" collapsed="false">
      <c r="A158" s="16" t="n">
        <v>3</v>
      </c>
      <c r="B158" s="0" t="n">
        <f aca="false">IFERROR(__xludf.dummyfunction("""COMPUTED_VALUE"""),1006)</f>
        <v>1006</v>
      </c>
      <c r="C158" s="24" t="n">
        <f aca="false">IFERROR(__xludf.dummyfunction("""COMPUTED_VALUE"""),15990)</f>
        <v>15990</v>
      </c>
      <c r="D158" s="0" t="n">
        <f aca="false">IFERROR(__xludf.dummyfunction("""COMPUTED_VALUE"""),1)</f>
        <v>1</v>
      </c>
      <c r="E158" s="0" t="n">
        <f aca="false">IFERROR(__xludf.dummyfunction("""COMPUTED_VALUE"""),120)</f>
        <v>120</v>
      </c>
      <c r="F158" s="0" t="str">
        <f aca="false">IFERROR(__xludf.dummyfunction("filter(Formulas!$C:$C,Formulas!$A:$A=B158)"),"""formula"":null")</f>
        <v>"formula":null</v>
      </c>
      <c r="G158" s="0" t="n">
        <f aca="false">IFERROR(__xludf.dummyfunction("""COMPUTED_VALUE"""),720)</f>
        <v>720</v>
      </c>
      <c r="H158" s="21" t="str">
        <f aca="false">IFERROR(__xludf.dummyfunction("IF(D158,filter(Productos!AC:AC,Productos!A:A=B158),)"),"fabrica")</f>
        <v>fabrica</v>
      </c>
      <c r="I158" s="24" t="str">
        <f aca="false">IFERROR(__xludf.dummyfunction("""COMPUTED_VALUE"""),"")</f>
        <v/>
      </c>
      <c r="K158" s="0" t="e">
        <f aca="false">IF(D158,"{""sku"":"""&amp;B158&amp;""", ""costo"":"&amp;C158&amp;", ""grupo"":"""&amp;A158&amp;""", ""lote"":"&amp;D158&amp;", ""tiempo"":"&amp;E158&amp;", "&amp;F158&amp;", ""vencimiento"":"&amp;G158&amp;IF(I158,", ""precio"":"&amp;I158,)&amp;", ""tipo"":"""&amp;H158&amp;"""},",)</f>
        <v>#VALUE!</v>
      </c>
    </row>
    <row r="159" customFormat="false" ht="13" hidden="false" customHeight="false" outlineLevel="0" collapsed="false">
      <c r="A159" s="17" t="n">
        <v>3</v>
      </c>
      <c r="B159" s="0" t="n">
        <f aca="false">IFERROR(__xludf.dummyfunction("""COMPUTED_VALUE"""),1010)</f>
        <v>1010</v>
      </c>
      <c r="C159" s="24" t="n">
        <f aca="false">IFERROR(__xludf.dummyfunction("""COMPUTED_VALUE"""),2990)</f>
        <v>2990</v>
      </c>
      <c r="D159" s="0" t="n">
        <f aca="false">IFERROR(__xludf.dummyfunction("""COMPUTED_VALUE"""),5)</f>
        <v>5</v>
      </c>
      <c r="E159" s="0" t="n">
        <f aca="false">IFERROR(__xludf.dummyfunction("""COMPUTED_VALUE"""),480)</f>
        <v>480</v>
      </c>
      <c r="F159" s="0" t="str">
        <f aca="false">IFERROR(__xludf.dummyfunction("filter(Formulas!$C:$C,Formulas!$A:$A=B159)"),"""formula"":null")</f>
        <v>"formula":null</v>
      </c>
      <c r="G159" s="0" t="n">
        <f aca="false">IFERROR(__xludf.dummyfunction("""COMPUTED_VALUE"""),30)</f>
        <v>30</v>
      </c>
      <c r="H159" s="21" t="str">
        <f aca="false">IFERROR(__xludf.dummyfunction("IF(D159,filter(Productos!AC:AC,Productos!A:A=B159),)"),"fabrica")</f>
        <v>fabrica</v>
      </c>
      <c r="I159" s="24" t="str">
        <f aca="false">IFERROR(__xludf.dummyfunction("""COMPUTED_VALUE"""),"")</f>
        <v/>
      </c>
      <c r="K159" s="0" t="e">
        <f aca="false">IF(D159,"{""sku"":"""&amp;B159&amp;""", ""costo"":"&amp;C159&amp;", ""grupo"":"""&amp;A159&amp;""", ""lote"":"&amp;D159&amp;", ""tiempo"":"&amp;E159&amp;", "&amp;F159&amp;", ""vencimiento"":"&amp;G159&amp;IF(I159,", ""precio"":"&amp;I159,)&amp;", ""tipo"":"""&amp;H159&amp;"""},",)</f>
        <v>#VALUE!</v>
      </c>
    </row>
    <row r="160" customFormat="false" ht="13" hidden="false" customHeight="false" outlineLevel="0" collapsed="false">
      <c r="A160" s="16" t="n">
        <v>3</v>
      </c>
      <c r="B160" s="0" t="n">
        <f aca="false">IFERROR(__xludf.dummyfunction("""COMPUTED_VALUE"""),1014)</f>
        <v>1014</v>
      </c>
      <c r="C160" s="24" t="n">
        <f aca="false">IFERROR(__xludf.dummyfunction("""COMPUTED_VALUE"""),690)</f>
        <v>690</v>
      </c>
      <c r="D160" s="0" t="n">
        <f aca="false">IFERROR(__xludf.dummyfunction("""COMPUTED_VALUE"""),5)</f>
        <v>5</v>
      </c>
      <c r="E160" s="0" t="n">
        <f aca="false">IFERROR(__xludf.dummyfunction("""COMPUTED_VALUE"""),240)</f>
        <v>240</v>
      </c>
      <c r="F160" s="0" t="str">
        <f aca="false">IFERROR(__xludf.dummyfunction("filter(Formulas!$C:$C,Formulas!$A:$A=B160)"),"""formula"":null")</f>
        <v>"formula":null</v>
      </c>
      <c r="G160" s="0" t="n">
        <f aca="false">IFERROR(__xludf.dummyfunction("""COMPUTED_VALUE"""),24)</f>
        <v>24</v>
      </c>
      <c r="H160" s="21" t="str">
        <f aca="false">IFERROR(__xludf.dummyfunction("IF(D160,filter(Productos!AC:AC,Productos!A:A=B160),)"),"fabrica")</f>
        <v>fabrica</v>
      </c>
      <c r="I160" s="24" t="str">
        <f aca="false">IFERROR(__xludf.dummyfunction("""COMPUTED_VALUE"""),"")</f>
        <v/>
      </c>
      <c r="K160" s="0" t="e">
        <f aca="false">IF(D160,"{""sku"":"""&amp;B160&amp;""", ""costo"":"&amp;C160&amp;", ""grupo"":"""&amp;A160&amp;""", ""lote"":"&amp;D160&amp;", ""tiempo"":"&amp;E160&amp;", "&amp;F160&amp;", ""vencimiento"":"&amp;G160&amp;IF(I160,", ""precio"":"&amp;I160,)&amp;", ""tipo"":"""&amp;H160&amp;"""},",)</f>
        <v>#VALUE!</v>
      </c>
    </row>
    <row r="161" customFormat="false" ht="13" hidden="false" customHeight="false" outlineLevel="0" collapsed="false">
      <c r="A161" s="17" t="n">
        <v>3</v>
      </c>
      <c r="B161" s="0" t="n">
        <f aca="false">IFERROR(__xludf.dummyfunction("""COMPUTED_VALUE"""),1015)</f>
        <v>1015</v>
      </c>
      <c r="C161" s="24" t="n">
        <f aca="false">IFERROR(__xludf.dummyfunction("""COMPUTED_VALUE"""),350)</f>
        <v>350</v>
      </c>
      <c r="D161" s="0" t="n">
        <f aca="false">IFERROR(__xludf.dummyfunction("""COMPUTED_VALUE"""),4)</f>
        <v>4</v>
      </c>
      <c r="E161" s="0" t="n">
        <f aca="false">IFERROR(__xludf.dummyfunction("""COMPUTED_VALUE"""),400)</f>
        <v>400</v>
      </c>
      <c r="F161" s="0" t="str">
        <f aca="false">IFERROR(__xludf.dummyfunction("filter(Formulas!$C:$C,Formulas!$A:$A=B161)"),"""formula"":null")</f>
        <v>"formula":null</v>
      </c>
      <c r="G161" s="0" t="n">
        <f aca="false">IFERROR(__xludf.dummyfunction("""COMPUTED_VALUE"""),30)</f>
        <v>30</v>
      </c>
      <c r="H161" s="21" t="str">
        <f aca="false">IFERROR(__xludf.dummyfunction("IF(D161,filter(Productos!AC:AC,Productos!A:A=B161),)"),"fabrica")</f>
        <v>fabrica</v>
      </c>
      <c r="I161" s="24" t="str">
        <f aca="false">IFERROR(__xludf.dummyfunction("""COMPUTED_VALUE"""),"")</f>
        <v/>
      </c>
      <c r="K161" s="0" t="e">
        <f aca="false">IF(D161,"{""sku"":"""&amp;B161&amp;""", ""costo"":"&amp;C161&amp;", ""grupo"":"""&amp;A161&amp;""", ""lote"":"&amp;D161&amp;", ""tiempo"":"&amp;E161&amp;", "&amp;F161&amp;", ""vencimiento"":"&amp;G161&amp;IF(I161,", ""precio"":"&amp;I161,)&amp;", ""tipo"":"""&amp;H161&amp;"""},",)</f>
        <v>#VALUE!</v>
      </c>
    </row>
    <row r="162" customFormat="false" ht="13" hidden="false" customHeight="false" outlineLevel="0" collapsed="false">
      <c r="A162" s="16" t="n">
        <v>3</v>
      </c>
      <c r="B162" s="0" t="n">
        <f aca="false">IFERROR(__xludf.dummyfunction("""COMPUTED_VALUE"""),1016)</f>
        <v>1016</v>
      </c>
      <c r="C162" s="24" t="n">
        <f aca="false">IFERROR(__xludf.dummyfunction("""COMPUTED_VALUE"""),2790)</f>
        <v>2790</v>
      </c>
      <c r="D162" s="0" t="n">
        <f aca="false">IFERROR(__xludf.dummyfunction("""COMPUTED_VALUE"""),8)</f>
        <v>8</v>
      </c>
      <c r="E162" s="0" t="n">
        <f aca="false">IFERROR(__xludf.dummyfunction("""COMPUTED_VALUE"""),600)</f>
        <v>600</v>
      </c>
      <c r="F162" s="0" t="str">
        <f aca="false">IFERROR(__xludf.dummyfunction("filter(Formulas!$C:$C,Formulas!$A:$A=B162)"),"""formula"":null")</f>
        <v>"formula":null</v>
      </c>
      <c r="G162" s="0" t="n">
        <f aca="false">IFERROR(__xludf.dummyfunction("""COMPUTED_VALUE"""),240)</f>
        <v>240</v>
      </c>
      <c r="H162" s="21" t="str">
        <f aca="false">IFERROR(__xludf.dummyfunction("IF(D162,filter(Productos!AC:AC,Productos!A:A=B162),)"),"fabrica")</f>
        <v>fabrica</v>
      </c>
      <c r="I162" s="0" t="str">
        <f aca="false">IFERROR(__xludf.dummyfunction("""COMPUTED_VALUE"""),"")</f>
        <v/>
      </c>
      <c r="K162" s="0" t="e">
        <f aca="false">IF(D162,"{""sku"":"""&amp;B162&amp;""", ""costo"":"&amp;C162&amp;", ""grupo"":"""&amp;A162&amp;""", ""lote"":"&amp;D162&amp;", ""tiempo"":"&amp;E162&amp;", "&amp;F162&amp;", ""vencimiento"":"&amp;G162&amp;IF(I162,", ""precio"":"&amp;I162,)&amp;", ""tipo"":"""&amp;H162&amp;"""},",)</f>
        <v>#VALUE!</v>
      </c>
    </row>
    <row r="163" customFormat="false" ht="13" hidden="false" customHeight="false" outlineLevel="0" collapsed="false">
      <c r="A163" s="17" t="n">
        <v>3</v>
      </c>
      <c r="B163" s="0" t="n">
        <f aca="false">IFERROR(__xludf.dummyfunction("""COMPUTED_VALUE"""),1101)</f>
        <v>1101</v>
      </c>
      <c r="C163" s="24" t="n">
        <f aca="false">IFERROR(__xludf.dummyfunction("""COMPUTED_VALUE"""),500)</f>
        <v>500</v>
      </c>
      <c r="D163" s="0" t="n">
        <f aca="false">IFERROR(__xludf.dummyfunction("""COMPUTED_VALUE"""),10)</f>
        <v>10</v>
      </c>
      <c r="E163" s="0" t="n">
        <f aca="false">IFERROR(__xludf.dummyfunction("""COMPUTED_VALUE"""),40)</f>
        <v>40</v>
      </c>
      <c r="F163" s="0" t="str">
        <f aca="false">IFERROR(__xludf.dummyfunction("filter(Formulas!$C:$C,Formulas!$A:$A=B163)"),"""formula"":[{""sku"":""1001"",""req"":8},{""sku"":""1003"",""req"":3},{""sku"":""1004"",""req"":2},{""sku"":""1002"",""req"":4}]")</f>
        <v>"formula":[{"sku":"1001","req":8},{"sku":"1003","req":3},{"sku":"1004","req":2},{"sku":"1002","req":4}]</v>
      </c>
      <c r="G163" s="0" t="n">
        <f aca="false">IFERROR(__xludf.dummyfunction("""COMPUTED_VALUE"""),3)</f>
        <v>3</v>
      </c>
      <c r="H163" s="21" t="str">
        <f aca="false">IFERROR(__xludf.dummyfunction("IF(D163,filter(Productos!AC:AC,Productos!A:A=B163),)"),"fabrica")</f>
        <v>fabrica</v>
      </c>
      <c r="I163" s="24" t="str">
        <f aca="false">IFERROR(__xludf.dummyfunction("""COMPUTED_VALUE"""),"")</f>
        <v/>
      </c>
      <c r="K163" s="0" t="e">
        <f aca="false">IF(D163,"{""sku"":"""&amp;B163&amp;""", ""costo"":"&amp;C163&amp;", ""grupo"":"""&amp;A163&amp;""", ""lote"":"&amp;D163&amp;", ""tiempo"":"&amp;E163&amp;", "&amp;F163&amp;", ""vencimiento"":"&amp;G163&amp;IF(I163,", ""precio"":"&amp;I163,)&amp;", ""tipo"":"""&amp;H163&amp;"""},",)</f>
        <v>#VALUE!</v>
      </c>
    </row>
    <row r="164" customFormat="false" ht="13" hidden="false" customHeight="false" outlineLevel="0" collapsed="false">
      <c r="A164" s="16" t="n">
        <v>3</v>
      </c>
      <c r="B164" s="0" t="n">
        <f aca="false">IFERROR(__xludf.dummyfunction("""COMPUTED_VALUE"""),1105)</f>
        <v>1105</v>
      </c>
      <c r="C164" s="24" t="n">
        <f aca="false">IFERROR(__xludf.dummyfunction("""COMPUTED_VALUE"""),10)</f>
        <v>10</v>
      </c>
      <c r="D164" s="0" t="n">
        <f aca="false">IFERROR(__xludf.dummyfunction("""COMPUTED_VALUE"""),10)</f>
        <v>10</v>
      </c>
      <c r="E164" s="0" t="n">
        <f aca="false">IFERROR(__xludf.dummyfunction("""COMPUTED_VALUE"""),10)</f>
        <v>10</v>
      </c>
      <c r="F164" s="0" t="str">
        <f aca="false">IFERROR(__xludf.dummyfunction("filter(Formulas!$C:$C,Formulas!$A:$A=B164)"),"""formula"":[{""sku"":""1005"",""req"":1}]")</f>
        <v>"formula":[{"sku":"1005","req":1}]</v>
      </c>
      <c r="G164" s="0" t="n">
        <f aca="false">IFERROR(__xludf.dummyfunction("""COMPUTED_VALUE"""),3)</f>
        <v>3</v>
      </c>
      <c r="H164" s="21" t="str">
        <f aca="false">IFERROR(__xludf.dummyfunction("IF(D164,filter(Productos!AC:AC,Productos!A:A=B164),)"),"fabrica")</f>
        <v>fabrica</v>
      </c>
      <c r="I164" s="24" t="str">
        <f aca="false">IFERROR(__xludf.dummyfunction("""COMPUTED_VALUE"""),"")</f>
        <v/>
      </c>
      <c r="K164" s="0" t="e">
        <f aca="false">IF(D164,"{""sku"":"""&amp;B164&amp;""", ""costo"":"&amp;C164&amp;", ""grupo"":"""&amp;A164&amp;""", ""lote"":"&amp;D164&amp;", ""tiempo"":"&amp;E164&amp;", "&amp;F164&amp;", ""vencimiento"":"&amp;G164&amp;IF(I164,", ""precio"":"&amp;I164,)&amp;", ""tipo"":"""&amp;H164&amp;"""},",)</f>
        <v>#VALUE!</v>
      </c>
    </row>
    <row r="165" customFormat="false" ht="13" hidden="false" customHeight="false" outlineLevel="0" collapsed="false">
      <c r="A165" s="17" t="n">
        <v>3</v>
      </c>
      <c r="B165" s="0" t="n">
        <f aca="false">IFERROR(__xludf.dummyfunction("""COMPUTED_VALUE"""),1106)</f>
        <v>1106</v>
      </c>
      <c r="C165" s="24" t="n">
        <f aca="false">IFERROR(__xludf.dummyfunction("""COMPUTED_VALUE"""),700)</f>
        <v>700</v>
      </c>
      <c r="D165" s="0" t="n">
        <f aca="false">IFERROR(__xludf.dummyfunction("""COMPUTED_VALUE"""),100)</f>
        <v>100</v>
      </c>
      <c r="E165" s="0" t="n">
        <f aca="false">IFERROR(__xludf.dummyfunction("""COMPUTED_VALUE"""),30)</f>
        <v>30</v>
      </c>
      <c r="F165" s="0" t="str">
        <f aca="false">IFERROR(__xludf.dummyfunction("filter(Formulas!$C:$C,Formulas!$A:$A=B165)"),"""formula"":[{""sku"":""1006"",""req"":1}]")</f>
        <v>"formula":[{"sku":"1006","req":1}]</v>
      </c>
      <c r="G165" s="0" t="n">
        <f aca="false">IFERROR(__xludf.dummyfunction("""COMPUTED_VALUE"""),4)</f>
        <v>4</v>
      </c>
      <c r="H165" s="21" t="str">
        <f aca="false">IFERROR(__xludf.dummyfunction("IF(D165,filter(Productos!AC:AC,Productos!A:A=B165),)"),"fabrica")</f>
        <v>fabrica</v>
      </c>
      <c r="I165" s="24" t="str">
        <f aca="false">IFERROR(__xludf.dummyfunction("""COMPUTED_VALUE"""),"")</f>
        <v/>
      </c>
      <c r="K165" s="0" t="e">
        <f aca="false">IF(D165,"{""sku"":"""&amp;B165&amp;""", ""costo"":"&amp;C165&amp;", ""grupo"":"""&amp;A165&amp;""", ""lote"":"&amp;D165&amp;", ""tiempo"":"&amp;E165&amp;", "&amp;F165&amp;", ""vencimiento"":"&amp;G165&amp;IF(I165,", ""precio"":"&amp;I165,)&amp;", ""tipo"":"""&amp;H165&amp;"""},",)</f>
        <v>#VALUE!</v>
      </c>
    </row>
    <row r="166" customFormat="false" ht="13" hidden="false" customHeight="false" outlineLevel="0" collapsed="false">
      <c r="A166" s="16" t="n">
        <v>3</v>
      </c>
      <c r="B166" s="0" t="n">
        <f aca="false">IFERROR(__xludf.dummyfunction("""COMPUTED_VALUE"""),1107)</f>
        <v>1107</v>
      </c>
      <c r="C166" s="24" t="n">
        <f aca="false">IFERROR(__xludf.dummyfunction("""COMPUTED_VALUE"""),10)</f>
        <v>10</v>
      </c>
      <c r="D166" s="0" t="n">
        <f aca="false">IFERROR(__xludf.dummyfunction("""COMPUTED_VALUE"""),11)</f>
        <v>11</v>
      </c>
      <c r="E166" s="0" t="n">
        <f aca="false">IFERROR(__xludf.dummyfunction("""COMPUTED_VALUE"""),20)</f>
        <v>20</v>
      </c>
      <c r="F166" s="0" t="str">
        <f aca="false">IFERROR(__xludf.dummyfunction("filter(Formulas!$C:$C,Formulas!$A:$A=B166)"),"""formula"":[{""sku"":""1007"",""req"":1}]")</f>
        <v>"formula":[{"sku":"1007","req":1}]</v>
      </c>
      <c r="G166" s="0" t="n">
        <f aca="false">IFERROR(__xludf.dummyfunction("""COMPUTED_VALUE"""),2)</f>
        <v>2</v>
      </c>
      <c r="H166" s="21" t="str">
        <f aca="false">IFERROR(__xludf.dummyfunction("IF(D166,filter(Productos!AC:AC,Productos!A:A=B166),)"),"fabrica")</f>
        <v>fabrica</v>
      </c>
      <c r="I166" s="24" t="str">
        <f aca="false">IFERROR(__xludf.dummyfunction("""COMPUTED_VALUE"""),"")</f>
        <v/>
      </c>
      <c r="K166" s="0" t="e">
        <f aca="false">IF(D166,"{""sku"":"""&amp;B166&amp;""", ""costo"":"&amp;C166&amp;", ""grupo"":"""&amp;A166&amp;""", ""lote"":"&amp;D166&amp;", ""tiempo"":"&amp;E166&amp;", "&amp;F166&amp;", ""vencimiento"":"&amp;G166&amp;IF(I166,", ""precio"":"&amp;I166,)&amp;", ""tipo"":"""&amp;H166&amp;"""},",)</f>
        <v>#VALUE!</v>
      </c>
    </row>
    <row r="167" customFormat="false" ht="13" hidden="false" customHeight="false" outlineLevel="0" collapsed="false">
      <c r="A167" s="17" t="n">
        <v>3</v>
      </c>
      <c r="B167" s="0" t="n">
        <f aca="false">IFERROR(__xludf.dummyfunction("""COMPUTED_VALUE"""),1108)</f>
        <v>1108</v>
      </c>
      <c r="C167" s="24" t="n">
        <f aca="false">IFERROR(__xludf.dummyfunction("""COMPUTED_VALUE"""),10)</f>
        <v>10</v>
      </c>
      <c r="D167" s="0" t="n">
        <f aca="false">IFERROR(__xludf.dummyfunction("""COMPUTED_VALUE"""),6)</f>
        <v>6</v>
      </c>
      <c r="E167" s="0" t="n">
        <f aca="false">IFERROR(__xludf.dummyfunction("""COMPUTED_VALUE"""),20)</f>
        <v>20</v>
      </c>
      <c r="F167" s="0" t="str">
        <f aca="false">IFERROR(__xludf.dummyfunction("filter(Formulas!$C:$C,Formulas!$A:$A=B167)"),"""formula"":[{""sku"":""1008"",""req"":1}]")</f>
        <v>"formula":[{"sku":"1008","req":1}]</v>
      </c>
      <c r="G167" s="0" t="n">
        <f aca="false">IFERROR(__xludf.dummyfunction("""COMPUTED_VALUE"""),4)</f>
        <v>4</v>
      </c>
      <c r="H167" s="21" t="str">
        <f aca="false">IFERROR(__xludf.dummyfunction("IF(D167,filter(Productos!AC:AC,Productos!A:A=B167),)"),"fabrica")</f>
        <v>fabrica</v>
      </c>
      <c r="I167" s="24" t="str">
        <f aca="false">IFERROR(__xludf.dummyfunction("""COMPUTED_VALUE"""),"")</f>
        <v/>
      </c>
      <c r="K167" s="0" t="e">
        <f aca="false">IF(D167,"{""sku"":"""&amp;B167&amp;""", ""costo"":"&amp;C167&amp;", ""grupo"":"""&amp;A167&amp;""", ""lote"":"&amp;D167&amp;", ""tiempo"":"&amp;E167&amp;", "&amp;F167&amp;", ""vencimiento"":"&amp;G167&amp;IF(I167,", ""precio"":"&amp;I167,)&amp;", ""tipo"":"""&amp;H167&amp;"""},",)</f>
        <v>#VALUE!</v>
      </c>
    </row>
    <row r="168" customFormat="false" ht="13" hidden="false" customHeight="false" outlineLevel="0" collapsed="false">
      <c r="A168" s="16" t="n">
        <v>3</v>
      </c>
      <c r="B168" s="0" t="n">
        <f aca="false">IFERROR(__xludf.dummyfunction("""COMPUTED_VALUE"""),1109)</f>
        <v>1109</v>
      </c>
      <c r="C168" s="24" t="n">
        <f aca="false">IFERROR(__xludf.dummyfunction("""COMPUTED_VALUE"""),10)</f>
        <v>10</v>
      </c>
      <c r="D168" s="0" t="n">
        <f aca="false">IFERROR(__xludf.dummyfunction("""COMPUTED_VALUE"""),12)</f>
        <v>12</v>
      </c>
      <c r="E168" s="0" t="n">
        <f aca="false">IFERROR(__xludf.dummyfunction("""COMPUTED_VALUE"""),30)</f>
        <v>30</v>
      </c>
      <c r="F168" s="0" t="str">
        <f aca="false">IFERROR(__xludf.dummyfunction("filter(Formulas!$C:$C,Formulas!$A:$A=B168)"),"""formula"":[{""sku"":""1009"",""req"":1}]")</f>
        <v>"formula":[{"sku":"1009","req":1}]</v>
      </c>
      <c r="G168" s="0" t="n">
        <f aca="false">IFERROR(__xludf.dummyfunction("""COMPUTED_VALUE"""),1.5)</f>
        <v>1.5</v>
      </c>
      <c r="H168" s="21" t="str">
        <f aca="false">IFERROR(__xludf.dummyfunction("IF(D168,filter(Productos!AC:AC,Productos!A:A=B168),)"),"fabrica")</f>
        <v>fabrica</v>
      </c>
      <c r="I168" s="24" t="str">
        <f aca="false">IFERROR(__xludf.dummyfunction("""COMPUTED_VALUE"""),"")</f>
        <v/>
      </c>
      <c r="K168" s="0" t="e">
        <f aca="false">IF(D168,"{""sku"":"""&amp;B168&amp;""", ""costo"":"&amp;C168&amp;", ""grupo"":"""&amp;A168&amp;""", ""lote"":"&amp;D168&amp;", ""tiempo"":"&amp;E168&amp;", "&amp;F168&amp;", ""vencimiento"":"&amp;G168&amp;IF(I168,", ""precio"":"&amp;I168,)&amp;", ""tipo"":"""&amp;H168&amp;"""},",)</f>
        <v>#VALUE!</v>
      </c>
    </row>
    <row r="169" customFormat="false" ht="13" hidden="false" customHeight="false" outlineLevel="0" collapsed="false">
      <c r="A169" s="17" t="n">
        <v>3</v>
      </c>
      <c r="B169" s="0" t="n">
        <f aca="false">IFERROR(__xludf.dummyfunction("""COMPUTED_VALUE"""),1110)</f>
        <v>1110</v>
      </c>
      <c r="C169" s="24" t="n">
        <f aca="false">IFERROR(__xludf.dummyfunction("""COMPUTED_VALUE"""),10)</f>
        <v>10</v>
      </c>
      <c r="D169" s="0" t="n">
        <f aca="false">IFERROR(__xludf.dummyfunction("""COMPUTED_VALUE"""),6)</f>
        <v>6</v>
      </c>
      <c r="E169" s="0" t="n">
        <f aca="false">IFERROR(__xludf.dummyfunction("""COMPUTED_VALUE"""),10)</f>
        <v>10</v>
      </c>
      <c r="F169" s="0" t="str">
        <f aca="false">IFERROR(__xludf.dummyfunction("filter(Formulas!$C:$C,Formulas!$A:$A=B169)"),"""formula"":[{""sku"":""1010"",""req"":1}]")</f>
        <v>"formula":[{"sku":"1010","req":1}]</v>
      </c>
      <c r="G169" s="0" t="n">
        <f aca="false">IFERROR(__xludf.dummyfunction("""COMPUTED_VALUE"""),2)</f>
        <v>2</v>
      </c>
      <c r="H169" s="21" t="str">
        <f aca="false">IFERROR(__xludf.dummyfunction("IF(D169,filter(Productos!AC:AC,Productos!A:A=B169),)"),"fabrica")</f>
        <v>fabrica</v>
      </c>
      <c r="I169" s="24" t="str">
        <f aca="false">IFERROR(__xludf.dummyfunction("""COMPUTED_VALUE"""),"")</f>
        <v/>
      </c>
      <c r="K169" s="0" t="e">
        <f aca="false">IF(D169,"{""sku"":"""&amp;B169&amp;""", ""costo"":"&amp;C169&amp;", ""grupo"":"""&amp;A169&amp;""", ""lote"":"&amp;D169&amp;", ""tiempo"":"&amp;E169&amp;", "&amp;F169&amp;", ""vencimiento"":"&amp;G169&amp;IF(I169,", ""precio"":"&amp;I169,)&amp;", ""tipo"":"""&amp;H169&amp;"""},",)</f>
        <v>#VALUE!</v>
      </c>
    </row>
    <row r="170" customFormat="false" ht="13" hidden="false" customHeight="false" outlineLevel="0" collapsed="false">
      <c r="A170" s="16" t="n">
        <v>3</v>
      </c>
      <c r="B170" s="0" t="n">
        <f aca="false">IFERROR(__xludf.dummyfunction("""COMPUTED_VALUE"""),1111)</f>
        <v>1111</v>
      </c>
      <c r="C170" s="24" t="n">
        <f aca="false">IFERROR(__xludf.dummyfunction("""COMPUTED_VALUE"""),120)</f>
        <v>120</v>
      </c>
      <c r="D170" s="0" t="n">
        <f aca="false">IFERROR(__xludf.dummyfunction("""COMPUTED_VALUE"""),2)</f>
        <v>2</v>
      </c>
      <c r="E170" s="0" t="n">
        <f aca="false">IFERROR(__xludf.dummyfunction("""COMPUTED_VALUE"""),30)</f>
        <v>30</v>
      </c>
      <c r="F170" s="0" t="str">
        <f aca="false">IFERROR(__xludf.dummyfunction("filter(Formulas!$C:$C,Formulas!$A:$A=B170)"),"""formula"":[{""sku"":""1011"",""req"":2}]")</f>
        <v>"formula":[{"sku":"1011","req":2}]</v>
      </c>
      <c r="G170" s="0" t="n">
        <f aca="false">IFERROR(__xludf.dummyfunction("""COMPUTED_VALUE"""),12)</f>
        <v>12</v>
      </c>
      <c r="H170" s="21" t="str">
        <f aca="false">IFERROR(__xludf.dummyfunction("IF(D170,filter(Productos!AC:AC,Productos!A:A=B170),)"),"fabrica")</f>
        <v>fabrica</v>
      </c>
      <c r="I170" s="24" t="str">
        <f aca="false">IFERROR(__xludf.dummyfunction("""COMPUTED_VALUE"""),"")</f>
        <v/>
      </c>
      <c r="K170" s="0" t="e">
        <f aca="false">IF(D170,"{""sku"":"""&amp;B170&amp;""", ""costo"":"&amp;C170&amp;", ""grupo"":"""&amp;A170&amp;""", ""lote"":"&amp;D170&amp;", ""tiempo"":"&amp;E170&amp;", "&amp;F170&amp;", ""vencimiento"":"&amp;G170&amp;IF(I170,", ""precio"":"&amp;I170,)&amp;", ""tipo"":"""&amp;H170&amp;"""},",)</f>
        <v>#VALUE!</v>
      </c>
    </row>
    <row r="171" customFormat="false" ht="13" hidden="false" customHeight="false" outlineLevel="0" collapsed="false">
      <c r="A171" s="17" t="n">
        <v>3</v>
      </c>
      <c r="B171" s="0" t="n">
        <f aca="false">IFERROR(__xludf.dummyfunction("""COMPUTED_VALUE"""),1112)</f>
        <v>1112</v>
      </c>
      <c r="C171" s="24" t="n">
        <f aca="false">IFERROR(__xludf.dummyfunction("""COMPUTED_VALUE"""),10)</f>
        <v>10</v>
      </c>
      <c r="D171" s="0" t="n">
        <f aca="false">IFERROR(__xludf.dummyfunction("""COMPUTED_VALUE"""),20)</f>
        <v>20</v>
      </c>
      <c r="E171" s="0" t="n">
        <f aca="false">IFERROR(__xludf.dummyfunction("""COMPUTED_VALUE"""),10)</f>
        <v>10</v>
      </c>
      <c r="F171" s="0" t="str">
        <f aca="false">IFERROR(__xludf.dummyfunction("filter(Formulas!$C:$C,Formulas!$A:$A=B171)"),"""formula"":[{""sku"":""1012"",""req"":1}]")</f>
        <v>"formula":[{"sku":"1012","req":1}]</v>
      </c>
      <c r="G171" s="0" t="n">
        <f aca="false">IFERROR(__xludf.dummyfunction("""COMPUTED_VALUE"""),24)</f>
        <v>24</v>
      </c>
      <c r="H171" s="21" t="str">
        <f aca="false">IFERROR(__xludf.dummyfunction("IF(D171,filter(Productos!AC:AC,Productos!A:A=B171),)"),"fabrica")</f>
        <v>fabrica</v>
      </c>
      <c r="I171" s="24" t="str">
        <f aca="false">IFERROR(__xludf.dummyfunction("""COMPUTED_VALUE"""),"")</f>
        <v/>
      </c>
      <c r="K171" s="0" t="e">
        <f aca="false">IF(D171,"{""sku"":"""&amp;B171&amp;""", ""costo"":"&amp;C171&amp;", ""grupo"":"""&amp;A171&amp;""", ""lote"":"&amp;D171&amp;", ""tiempo"":"&amp;E171&amp;", "&amp;F171&amp;", ""vencimiento"":"&amp;G171&amp;IF(I171,", ""precio"":"&amp;I171,)&amp;", ""tipo"":"""&amp;H171&amp;"""},",)</f>
        <v>#VALUE!</v>
      </c>
    </row>
    <row r="172" customFormat="false" ht="13" hidden="false" customHeight="false" outlineLevel="0" collapsed="false">
      <c r="A172" s="16" t="n">
        <v>3</v>
      </c>
      <c r="B172" s="0" t="n">
        <f aca="false">IFERROR(__xludf.dummyfunction("""COMPUTED_VALUE"""),1114)</f>
        <v>1114</v>
      </c>
      <c r="C172" s="24" t="n">
        <f aca="false">IFERROR(__xludf.dummyfunction("""COMPUTED_VALUE"""),10)</f>
        <v>10</v>
      </c>
      <c r="D172" s="0" t="n">
        <f aca="false">IFERROR(__xludf.dummyfunction("""COMPUTED_VALUE"""),4)</f>
        <v>4</v>
      </c>
      <c r="E172" s="0" t="n">
        <f aca="false">IFERROR(__xludf.dummyfunction("""COMPUTED_VALUE"""),10)</f>
        <v>10</v>
      </c>
      <c r="F172" s="0" t="str">
        <f aca="false">IFERROR(__xludf.dummyfunction("filter(Formulas!$C:$C,Formulas!$A:$A=B172)"),"""formula"":[{""sku"":""1014"",""req"":1}]")</f>
        <v>"formula":[{"sku":"1014","req":1}]</v>
      </c>
      <c r="G172" s="0" t="n">
        <f aca="false">IFERROR(__xludf.dummyfunction("""COMPUTED_VALUE"""),2)</f>
        <v>2</v>
      </c>
      <c r="H172" s="21" t="str">
        <f aca="false">IFERROR(__xludf.dummyfunction("IF(D172,filter(Productos!AC:AC,Productos!A:A=B172),)"),"fabrica")</f>
        <v>fabrica</v>
      </c>
      <c r="I172" s="24" t="str">
        <f aca="false">IFERROR(__xludf.dummyfunction("""COMPUTED_VALUE"""),"")</f>
        <v/>
      </c>
      <c r="K172" s="0" t="e">
        <f aca="false">IF(D172,"{""sku"":"""&amp;B172&amp;""", ""costo"":"&amp;C172&amp;", ""grupo"":"""&amp;A172&amp;""", ""lote"":"&amp;D172&amp;", ""tiempo"":"&amp;E172&amp;", "&amp;F172&amp;", ""vencimiento"":"&amp;G172&amp;IF(I172,", ""precio"":"&amp;I172,)&amp;", ""tipo"":"""&amp;H172&amp;"""},",)</f>
        <v>#VALUE!</v>
      </c>
    </row>
    <row r="173" customFormat="false" ht="13" hidden="false" customHeight="false" outlineLevel="0" collapsed="false">
      <c r="A173" s="17" t="n">
        <v>3</v>
      </c>
      <c r="B173" s="0" t="n">
        <f aca="false">IFERROR(__xludf.dummyfunction("""COMPUTED_VALUE"""),1115)</f>
        <v>1115</v>
      </c>
      <c r="C173" s="24" t="n">
        <f aca="false">IFERROR(__xludf.dummyfunction("""COMPUTED_VALUE"""),10)</f>
        <v>10</v>
      </c>
      <c r="D173" s="0" t="n">
        <f aca="false">IFERROR(__xludf.dummyfunction("""COMPUTED_VALUE"""),8)</f>
        <v>8</v>
      </c>
      <c r="E173" s="0" t="n">
        <f aca="false">IFERROR(__xludf.dummyfunction("""COMPUTED_VALUE"""),10)</f>
        <v>10</v>
      </c>
      <c r="F173" s="0" t="str">
        <f aca="false">IFERROR(__xludf.dummyfunction("filter(Formulas!$C:$C,Formulas!$A:$A=B173)"),"""formula"":[{""sku"":""1015"",""req"":2}]")</f>
        <v>"formula":[{"sku":"1015","req":2}]</v>
      </c>
      <c r="G173" s="0" t="n">
        <f aca="false">IFERROR(__xludf.dummyfunction("""COMPUTED_VALUE"""),3)</f>
        <v>3</v>
      </c>
      <c r="H173" s="21" t="str">
        <f aca="false">IFERROR(__xludf.dummyfunction("IF(D173,filter(Productos!AC:AC,Productos!A:A=B173),)"),"fabrica")</f>
        <v>fabrica</v>
      </c>
      <c r="I173" s="24" t="str">
        <f aca="false">IFERROR(__xludf.dummyfunction("""COMPUTED_VALUE"""),"")</f>
        <v/>
      </c>
      <c r="K173" s="0" t="e">
        <f aca="false">IF(D173,"{""sku"":"""&amp;B173&amp;""", ""costo"":"&amp;C173&amp;", ""grupo"":"""&amp;A173&amp;""", ""lote"":"&amp;D173&amp;", ""tiempo"":"&amp;E173&amp;", "&amp;F173&amp;", ""vencimiento"":"&amp;G173&amp;IF(I173,", ""precio"":"&amp;I173,)&amp;", ""tipo"":"""&amp;H173&amp;"""},",)</f>
        <v>#VALUE!</v>
      </c>
    </row>
    <row r="174" customFormat="false" ht="13" hidden="false" customHeight="false" outlineLevel="0" collapsed="false">
      <c r="A174" s="16" t="n">
        <v>3</v>
      </c>
      <c r="B174" s="0" t="n">
        <f aca="false">IFERROR(__xludf.dummyfunction("""COMPUTED_VALUE"""),1116)</f>
        <v>1116</v>
      </c>
      <c r="C174" s="24" t="n">
        <f aca="false">IFERROR(__xludf.dummyfunction("""COMPUTED_VALUE"""),10)</f>
        <v>10</v>
      </c>
      <c r="D174" s="0" t="n">
        <f aca="false">IFERROR(__xludf.dummyfunction("""COMPUTED_VALUE"""),10)</f>
        <v>10</v>
      </c>
      <c r="E174" s="0" t="n">
        <f aca="false">IFERROR(__xludf.dummyfunction("""COMPUTED_VALUE"""),40)</f>
        <v>40</v>
      </c>
      <c r="F174" s="0" t="str">
        <f aca="false">IFERROR(__xludf.dummyfunction("filter(Formulas!$C:$C,Formulas!$A:$A=B174)"),"""formula"":[{""sku"":""1016"",""req"":11}]")</f>
        <v>"formula":[{"sku":"1016","req":11}]</v>
      </c>
      <c r="G174" s="0" t="n">
        <f aca="false">IFERROR(__xludf.dummyfunction("""COMPUTED_VALUE"""),24)</f>
        <v>24</v>
      </c>
      <c r="H174" s="21" t="str">
        <f aca="false">IFERROR(__xludf.dummyfunction("IF(D174,filter(Productos!AC:AC,Productos!A:A=B174),)"),"fabrica")</f>
        <v>fabrica</v>
      </c>
      <c r="I174" s="0" t="str">
        <f aca="false">IFERROR(__xludf.dummyfunction("""COMPUTED_VALUE"""),"")</f>
        <v/>
      </c>
      <c r="K174" s="0" t="e">
        <f aca="false">IF(D174,"{""sku"":"""&amp;B174&amp;""", ""costo"":"&amp;C174&amp;", ""grupo"":"""&amp;A174&amp;""", ""lote"":"&amp;D174&amp;", ""tiempo"":"&amp;E174&amp;", "&amp;F174&amp;", ""vencimiento"":"&amp;G174&amp;IF(I174,", ""precio"":"&amp;I174,)&amp;", ""tipo"":"""&amp;H174&amp;"""},",)</f>
        <v>#VALUE!</v>
      </c>
    </row>
    <row r="175" customFormat="false" ht="13" hidden="false" customHeight="false" outlineLevel="0" collapsed="false">
      <c r="A175" s="17" t="n">
        <v>3</v>
      </c>
      <c r="B175" s="0" t="n">
        <f aca="false">IFERROR(__xludf.dummyfunction("""COMPUTED_VALUE"""),1201)</f>
        <v>1201</v>
      </c>
      <c r="C175" s="24" t="n">
        <f aca="false">IFERROR(__xludf.dummyfunction("""COMPUTED_VALUE"""),10)</f>
        <v>10</v>
      </c>
      <c r="D175" s="0" t="n">
        <f aca="false">IFERROR(__xludf.dummyfunction("""COMPUTED_VALUE"""),10)</f>
        <v>10</v>
      </c>
      <c r="E175" s="0" t="n">
        <f aca="false">IFERROR(__xludf.dummyfunction("""COMPUTED_VALUE"""),10)</f>
        <v>10</v>
      </c>
      <c r="F175" s="0" t="str">
        <f aca="false">IFERROR(__xludf.dummyfunction("filter(Formulas!$C:$C,Formulas!$A:$A=B175)"),"""formula"":[{""sku"":""1101"",""req"":1}]")</f>
        <v>"formula":[{"sku":"1101","req":1}]</v>
      </c>
      <c r="G175" s="0" t="n">
        <f aca="false">IFERROR(__xludf.dummyfunction("""COMPUTED_VALUE"""),2)</f>
        <v>2</v>
      </c>
      <c r="H175" s="21" t="str">
        <f aca="false">IFERROR(__xludf.dummyfunction("IF(D175,filter(Productos!AC:AC,Productos!A:A=B175),)"),"fabrica")</f>
        <v>fabrica</v>
      </c>
      <c r="I175" s="24" t="str">
        <f aca="false">IFERROR(__xludf.dummyfunction("""COMPUTED_VALUE"""),"")</f>
        <v/>
      </c>
      <c r="K175" s="0" t="e">
        <f aca="false">IF(D175,"{""sku"":"""&amp;B175&amp;""", ""costo"":"&amp;C175&amp;", ""grupo"":"""&amp;A175&amp;""", ""lote"":"&amp;D175&amp;", ""tiempo"":"&amp;E175&amp;", "&amp;F175&amp;", ""vencimiento"":"&amp;G175&amp;IF(I175,", ""precio"":"&amp;I175,)&amp;", ""tipo"":"""&amp;H175&amp;"""},",)</f>
        <v>#VALUE!</v>
      </c>
    </row>
    <row r="176" customFormat="false" ht="13" hidden="false" customHeight="false" outlineLevel="0" collapsed="false">
      <c r="A176" s="16" t="n">
        <v>3</v>
      </c>
      <c r="B176" s="0" t="n">
        <f aca="false">IFERROR(__xludf.dummyfunction("""COMPUTED_VALUE"""),1207)</f>
        <v>1207</v>
      </c>
      <c r="C176" s="24" t="n">
        <f aca="false">IFERROR(__xludf.dummyfunction("""COMPUTED_VALUE"""),30)</f>
        <v>30</v>
      </c>
      <c r="D176" s="0" t="n">
        <f aca="false">IFERROR(__xludf.dummyfunction("""COMPUTED_VALUE"""),12)</f>
        <v>12</v>
      </c>
      <c r="E176" s="0" t="n">
        <f aca="false">IFERROR(__xludf.dummyfunction("""COMPUTED_VALUE"""),20)</f>
        <v>20</v>
      </c>
      <c r="F176" s="0" t="str">
        <f aca="false">IFERROR(__xludf.dummyfunction("filter(Formulas!$C:$C,Formulas!$A:$A=B176)"),"""formula"":[{""sku"":""1007"",""req"":1}]")</f>
        <v>"formula":[{"sku":"1007","req":1}]</v>
      </c>
      <c r="G176" s="0" t="n">
        <f aca="false">IFERROR(__xludf.dummyfunction("""COMPUTED_VALUE"""),2)</f>
        <v>2</v>
      </c>
      <c r="H176" s="21" t="str">
        <f aca="false">IFERROR(__xludf.dummyfunction("IF(D176,filter(Productos!AC:AC,Productos!A:A=B176),)"),"fabrica")</f>
        <v>fabrica</v>
      </c>
      <c r="I176" s="24" t="str">
        <f aca="false">IFERROR(__xludf.dummyfunction("""COMPUTED_VALUE"""),"")</f>
        <v/>
      </c>
      <c r="K176" s="0" t="e">
        <f aca="false">IF(D176,"{""sku"":"""&amp;B176&amp;""", ""costo"":"&amp;C176&amp;", ""grupo"":"""&amp;A176&amp;""", ""lote"":"&amp;D176&amp;", ""tiempo"":"&amp;E176&amp;", "&amp;F176&amp;", ""vencimiento"":"&amp;G176&amp;IF(I176,", ""precio"":"&amp;I176,)&amp;", ""tipo"":"""&amp;H176&amp;"""},",)</f>
        <v>#VALUE!</v>
      </c>
    </row>
    <row r="177" customFormat="false" ht="13" hidden="false" customHeight="false" outlineLevel="0" collapsed="false">
      <c r="A177" s="17" t="n">
        <v>3</v>
      </c>
      <c r="B177" s="0" t="n">
        <f aca="false">IFERROR(__xludf.dummyfunction("""COMPUTED_VALUE"""),1209)</f>
        <v>1209</v>
      </c>
      <c r="C177" s="24" t="n">
        <f aca="false">IFERROR(__xludf.dummyfunction("""COMPUTED_VALUE"""),30)</f>
        <v>30</v>
      </c>
      <c r="D177" s="0" t="n">
        <f aca="false">IFERROR(__xludf.dummyfunction("""COMPUTED_VALUE"""),14)</f>
        <v>14</v>
      </c>
      <c r="E177" s="0" t="n">
        <f aca="false">IFERROR(__xludf.dummyfunction("""COMPUTED_VALUE"""),30)</f>
        <v>30</v>
      </c>
      <c r="F177" s="0" t="str">
        <f aca="false">IFERROR(__xludf.dummyfunction("filter(Formulas!$C:$C,Formulas!$A:$A=B177)"),"""formula"":[{""sku"":""1009"",""req"":1}]")</f>
        <v>"formula":[{"sku":"1009","req":1}]</v>
      </c>
      <c r="G177" s="0" t="n">
        <f aca="false">IFERROR(__xludf.dummyfunction("""COMPUTED_VALUE"""),1.5)</f>
        <v>1.5</v>
      </c>
      <c r="H177" s="21" t="str">
        <f aca="false">IFERROR(__xludf.dummyfunction("IF(D177,filter(Productos!AC:AC,Productos!A:A=B177),)"),"fabrica")</f>
        <v>fabrica</v>
      </c>
      <c r="I177" s="24" t="str">
        <f aca="false">IFERROR(__xludf.dummyfunction("""COMPUTED_VALUE"""),"")</f>
        <v/>
      </c>
      <c r="K177" s="0" t="e">
        <f aca="false">IF(D177,"{""sku"":"""&amp;B177&amp;""", ""costo"":"&amp;C177&amp;", ""grupo"":"""&amp;A177&amp;""", ""lote"":"&amp;D177&amp;", ""tiempo"":"&amp;E177&amp;", "&amp;F177&amp;", ""vencimiento"":"&amp;G177&amp;IF(I177,", ""precio"":"&amp;I177,)&amp;", ""tipo"":"""&amp;H177&amp;"""},",)</f>
        <v>#VALUE!</v>
      </c>
    </row>
    <row r="178" customFormat="false" ht="13" hidden="false" customHeight="false" outlineLevel="0" collapsed="false">
      <c r="A178" s="16" t="n">
        <v>3</v>
      </c>
      <c r="B178" s="0" t="n">
        <f aca="false">IFERROR(__xludf.dummyfunction("""COMPUTED_VALUE"""),1210)</f>
        <v>1210</v>
      </c>
      <c r="C178" s="24" t="n">
        <f aca="false">IFERROR(__xludf.dummyfunction("""COMPUTED_VALUE"""),10)</f>
        <v>10</v>
      </c>
      <c r="D178" s="0" t="n">
        <f aca="false">IFERROR(__xludf.dummyfunction("""COMPUTED_VALUE"""),9)</f>
        <v>9</v>
      </c>
      <c r="E178" s="0" t="n">
        <f aca="false">IFERROR(__xludf.dummyfunction("""COMPUTED_VALUE"""),10)</f>
        <v>10</v>
      </c>
      <c r="F178" s="0" t="str">
        <f aca="false">IFERROR(__xludf.dummyfunction("filter(Formulas!$C:$C,Formulas!$A:$A=B178)"),"""formula"":[{""sku"":""1010"",""req"":1}]")</f>
        <v>"formula":[{"sku":"1010","req":1}]</v>
      </c>
      <c r="G178" s="0" t="n">
        <f aca="false">IFERROR(__xludf.dummyfunction("""COMPUTED_VALUE"""),2.3)</f>
        <v>2.3</v>
      </c>
      <c r="H178" s="21" t="str">
        <f aca="false">IFERROR(__xludf.dummyfunction("IF(D178,filter(Productos!AC:AC,Productos!A:A=B178),)"),"fabrica")</f>
        <v>fabrica</v>
      </c>
      <c r="I178" s="24" t="str">
        <f aca="false">IFERROR(__xludf.dummyfunction("""COMPUTED_VALUE"""),"")</f>
        <v/>
      </c>
      <c r="K178" s="0" t="e">
        <f aca="false">IF(D178,"{""sku"":"""&amp;B178&amp;""", ""costo"":"&amp;C178&amp;", ""grupo"":"""&amp;A178&amp;""", ""lote"":"&amp;D178&amp;", ""tiempo"":"&amp;E178&amp;", "&amp;F178&amp;", ""vencimiento"":"&amp;G178&amp;IF(I178,", ""precio"":"&amp;I178,)&amp;", ""tipo"":"""&amp;H178&amp;"""},",)</f>
        <v>#VALUE!</v>
      </c>
    </row>
    <row r="179" customFormat="false" ht="13" hidden="false" customHeight="false" outlineLevel="0" collapsed="false">
      <c r="A179" s="17" t="n">
        <v>3</v>
      </c>
      <c r="B179" s="0" t="n">
        <f aca="false">IFERROR(__xludf.dummyfunction("""COMPUTED_VALUE"""),1211)</f>
        <v>1211</v>
      </c>
      <c r="C179" s="24" t="n">
        <f aca="false">IFERROR(__xludf.dummyfunction("""COMPUTED_VALUE"""),10)</f>
        <v>10</v>
      </c>
      <c r="D179" s="0" t="n">
        <f aca="false">IFERROR(__xludf.dummyfunction("""COMPUTED_VALUE"""),10)</f>
        <v>10</v>
      </c>
      <c r="E179" s="0" t="n">
        <f aca="false">IFERROR(__xludf.dummyfunction("""COMPUTED_VALUE"""),10)</f>
        <v>10</v>
      </c>
      <c r="F179" s="0" t="str">
        <f aca="false">IFERROR(__xludf.dummyfunction("filter(Formulas!$C:$C,Formulas!$A:$A=B179)"),"""formula"":[{""sku"":""1111"",""req"":1}]")</f>
        <v>"formula":[{"sku":"1111","req":1}]</v>
      </c>
      <c r="G179" s="0" t="n">
        <f aca="false">IFERROR(__xludf.dummyfunction("""COMPUTED_VALUE"""),12)</f>
        <v>12</v>
      </c>
      <c r="H179" s="21" t="str">
        <f aca="false">IFERROR(__xludf.dummyfunction("IF(D179,filter(Productos!AC:AC,Productos!A:A=B179),)"),"fabrica")</f>
        <v>fabrica</v>
      </c>
      <c r="I179" s="24" t="str">
        <f aca="false">IFERROR(__xludf.dummyfunction("""COMPUTED_VALUE"""),"")</f>
        <v/>
      </c>
      <c r="K179" s="0" t="e">
        <f aca="false">IF(D179,"{""sku"":"""&amp;B179&amp;""", ""costo"":"&amp;C179&amp;", ""grupo"":"""&amp;A179&amp;""", ""lote"":"&amp;D179&amp;", ""tiempo"":"&amp;E179&amp;", "&amp;F179&amp;", ""vencimiento"":"&amp;G179&amp;IF(I179,", ""precio"":"&amp;I179,)&amp;", ""tipo"":"""&amp;H179&amp;"""},",)</f>
        <v>#VALUE!</v>
      </c>
    </row>
    <row r="180" customFormat="false" ht="13" hidden="false" customHeight="false" outlineLevel="0" collapsed="false">
      <c r="A180" s="16" t="n">
        <v>3</v>
      </c>
      <c r="B180" s="0" t="n">
        <f aca="false">IFERROR(__xludf.dummyfunction("""COMPUTED_VALUE"""),1215)</f>
        <v>1215</v>
      </c>
      <c r="C180" s="24" t="n">
        <f aca="false">IFERROR(__xludf.dummyfunction("""COMPUTED_VALUE"""),0)</f>
        <v>0</v>
      </c>
      <c r="D180" s="0" t="n">
        <f aca="false">IFERROR(__xludf.dummyfunction("""COMPUTED_VALUE"""),8)</f>
        <v>8</v>
      </c>
      <c r="E180" s="0" t="n">
        <f aca="false">IFERROR(__xludf.dummyfunction("""COMPUTED_VALUE"""),10)</f>
        <v>10</v>
      </c>
      <c r="F180" s="0" t="str">
        <f aca="false">IFERROR(__xludf.dummyfunction("filter(Formulas!$C:$C,Formulas!$A:$A=B180)"),"""formula"":[{""sku"":""1015"",""req"":4}]")</f>
        <v>"formula":[{"sku":"1015","req":4}]</v>
      </c>
      <c r="G180" s="0" t="n">
        <f aca="false">IFERROR(__xludf.dummyfunction("""COMPUTED_VALUE"""),3)</f>
        <v>3</v>
      </c>
      <c r="H180" s="21" t="str">
        <f aca="false">IFERROR(__xludf.dummyfunction("IF(D180,filter(Productos!AC:AC,Productos!A:A=B180),)"),"fabrica")</f>
        <v>fabrica</v>
      </c>
      <c r="I180" s="24" t="str">
        <f aca="false">IFERROR(__xludf.dummyfunction("""COMPUTED_VALUE"""),"")</f>
        <v/>
      </c>
      <c r="K180" s="0" t="e">
        <f aca="false">IF(D180,"{""sku"":"""&amp;B180&amp;""", ""costo"":"&amp;C180&amp;", ""grupo"":"""&amp;A180&amp;""", ""lote"":"&amp;D180&amp;", ""tiempo"":"&amp;E180&amp;", "&amp;F180&amp;", ""vencimiento"":"&amp;G180&amp;IF(I180,", ""precio"":"&amp;I180,)&amp;", ""tipo"":"""&amp;H180&amp;"""},",)</f>
        <v>#VALUE!</v>
      </c>
    </row>
    <row r="181" customFormat="false" ht="13" hidden="false" customHeight="false" outlineLevel="0" collapsed="false">
      <c r="A181" s="17" t="n">
        <v>3</v>
      </c>
      <c r="B181" s="0" t="n">
        <f aca="false">IFERROR(__xludf.dummyfunction("""COMPUTED_VALUE"""),1216)</f>
        <v>1216</v>
      </c>
      <c r="C181" s="24" t="n">
        <f aca="false">IFERROR(__xludf.dummyfunction("""COMPUTED_VALUE"""),10)</f>
        <v>10</v>
      </c>
      <c r="D181" s="0" t="n">
        <f aca="false">IFERROR(__xludf.dummyfunction("""COMPUTED_VALUE"""),10)</f>
        <v>10</v>
      </c>
      <c r="E181" s="0" t="n">
        <f aca="false">IFERROR(__xludf.dummyfunction("""COMPUTED_VALUE"""),30)</f>
        <v>30</v>
      </c>
      <c r="F181" s="0" t="str">
        <f aca="false">IFERROR(__xludf.dummyfunction("filter(Formulas!$C:$C,Formulas!$A:$A=B181)"),"""formula"":[{""sku"":""1016"",""req"":2}]")</f>
        <v>"formula":[{"sku":"1016","req":2}]</v>
      </c>
      <c r="G181" s="0" t="n">
        <f aca="false">IFERROR(__xludf.dummyfunction("""COMPUTED_VALUE"""),24)</f>
        <v>24</v>
      </c>
      <c r="H181" s="21" t="str">
        <f aca="false">IFERROR(__xludf.dummyfunction("IF(D181,filter(Productos!AC:AC,Productos!A:A=B181),)"),"fabrica")</f>
        <v>fabrica</v>
      </c>
      <c r="I181" s="0" t="str">
        <f aca="false">IFERROR(__xludf.dummyfunction("""COMPUTED_VALUE"""),"")</f>
        <v/>
      </c>
      <c r="K181" s="0" t="e">
        <f aca="false">IF(D181,"{""sku"":"""&amp;B181&amp;""", ""costo"":"&amp;C181&amp;", ""grupo"":"""&amp;A181&amp;""", ""lote"":"&amp;D181&amp;", ""tiempo"":"&amp;E181&amp;", "&amp;F181&amp;", ""vencimiento"":"&amp;G181&amp;IF(I181,", ""precio"":"&amp;I181,)&amp;", ""tipo"":"""&amp;H181&amp;"""},",)</f>
        <v>#VALUE!</v>
      </c>
    </row>
    <row r="182" customFormat="false" ht="13" hidden="false" customHeight="false" outlineLevel="0" collapsed="false">
      <c r="A182" s="16" t="n">
        <v>3</v>
      </c>
      <c r="B182" s="0" t="n">
        <f aca="false">IFERROR(__xludf.dummyfunction("""COMPUTED_VALUE"""),1301)</f>
        <v>1301</v>
      </c>
      <c r="C182" s="24" t="n">
        <f aca="false">IFERROR(__xludf.dummyfunction("""COMPUTED_VALUE"""),10)</f>
        <v>10</v>
      </c>
      <c r="D182" s="0" t="n">
        <f aca="false">IFERROR(__xludf.dummyfunction("""COMPUTED_VALUE"""),5)</f>
        <v>5</v>
      </c>
      <c r="E182" s="0" t="n">
        <f aca="false">IFERROR(__xludf.dummyfunction("""COMPUTED_VALUE"""),10)</f>
        <v>10</v>
      </c>
      <c r="F182" s="0" t="str">
        <f aca="false">IFERROR(__xludf.dummyfunction("filter(Formulas!$C:$C,Formulas!$A:$A=B182)"),"""formula"":[{""sku"":""1101"",""req"":1}]")</f>
        <v>"formula":[{"sku":"1101","req":1}]</v>
      </c>
      <c r="G182" s="0" t="n">
        <f aca="false">IFERROR(__xludf.dummyfunction("""COMPUTED_VALUE"""),2)</f>
        <v>2</v>
      </c>
      <c r="H182" s="21" t="str">
        <f aca="false">IFERROR(__xludf.dummyfunction("IF(D182,filter(Productos!AC:AC,Productos!A:A=B182),)"),"fabrica")</f>
        <v>fabrica</v>
      </c>
      <c r="I182" s="24" t="str">
        <f aca="false">IFERROR(__xludf.dummyfunction("""COMPUTED_VALUE"""),"")</f>
        <v/>
      </c>
      <c r="K182" s="0" t="e">
        <f aca="false">IF(D182,"{""sku"":"""&amp;B182&amp;""", ""costo"":"&amp;C182&amp;", ""grupo"":"""&amp;A182&amp;""", ""lote"":"&amp;D182&amp;", ""tiempo"":"&amp;E182&amp;", "&amp;F182&amp;", ""vencimiento"":"&amp;G182&amp;IF(I182,", ""precio"":"&amp;I182,)&amp;", ""tipo"":"""&amp;H182&amp;"""},",)</f>
        <v>#VALUE!</v>
      </c>
    </row>
    <row r="183" customFormat="false" ht="13" hidden="false" customHeight="false" outlineLevel="0" collapsed="false">
      <c r="A183" s="17" t="n">
        <v>3</v>
      </c>
      <c r="B183" s="0" t="n">
        <f aca="false">IFERROR(__xludf.dummyfunction("""COMPUTED_VALUE"""),1307)</f>
        <v>1307</v>
      </c>
      <c r="C183" s="24" t="n">
        <f aca="false">IFERROR(__xludf.dummyfunction("""COMPUTED_VALUE"""),50)</f>
        <v>50</v>
      </c>
      <c r="D183" s="0" t="n">
        <f aca="false">IFERROR(__xludf.dummyfunction("""COMPUTED_VALUE"""),11)</f>
        <v>11</v>
      </c>
      <c r="E183" s="0" t="n">
        <f aca="false">IFERROR(__xludf.dummyfunction("""COMPUTED_VALUE"""),30)</f>
        <v>30</v>
      </c>
      <c r="F183" s="0" t="str">
        <f aca="false">IFERROR(__xludf.dummyfunction("filter(Formulas!$C:$C,Formulas!$A:$A=B183)"),"""formula"":[{""sku"":""1007"",""req"":1}]")</f>
        <v>"formula":[{"sku":"1007","req":1}]</v>
      </c>
      <c r="G183" s="0" t="n">
        <f aca="false">IFERROR(__xludf.dummyfunction("""COMPUTED_VALUE"""),1.2)</f>
        <v>1.2</v>
      </c>
      <c r="H183" s="21" t="str">
        <f aca="false">IFERROR(__xludf.dummyfunction("IF(D183,filter(Productos!AC:AC,Productos!A:A=B183),)"),"fabrica")</f>
        <v>fabrica</v>
      </c>
      <c r="I183" s="24" t="str">
        <f aca="false">IFERROR(__xludf.dummyfunction("""COMPUTED_VALUE"""),"")</f>
        <v/>
      </c>
      <c r="K183" s="0" t="e">
        <f aca="false">IF(D183,"{""sku"":"""&amp;B183&amp;""", ""costo"":"&amp;C183&amp;", ""grupo"":"""&amp;A183&amp;""", ""lote"":"&amp;D183&amp;", ""tiempo"":"&amp;E183&amp;", "&amp;F183&amp;", ""vencimiento"":"&amp;G183&amp;IF(I183,", ""precio"":"&amp;I183,)&amp;", ""tipo"":"""&amp;H183&amp;"""},",)</f>
        <v>#VALUE!</v>
      </c>
    </row>
    <row r="184" customFormat="false" ht="13" hidden="false" customHeight="false" outlineLevel="0" collapsed="false">
      <c r="A184" s="16" t="n">
        <v>3</v>
      </c>
      <c r="B184" s="0" t="n">
        <f aca="false">IFERROR(__xludf.dummyfunction("""COMPUTED_VALUE"""),1309)</f>
        <v>1309</v>
      </c>
      <c r="C184" s="24" t="n">
        <f aca="false">IFERROR(__xludf.dummyfunction("""COMPUTED_VALUE"""),50)</f>
        <v>50</v>
      </c>
      <c r="D184" s="0" t="n">
        <f aca="false">IFERROR(__xludf.dummyfunction("""COMPUTED_VALUE"""),11)</f>
        <v>11</v>
      </c>
      <c r="E184" s="0" t="n">
        <f aca="false">IFERROR(__xludf.dummyfunction("""COMPUTED_VALUE"""),50)</f>
        <v>50</v>
      </c>
      <c r="F184" s="0" t="str">
        <f aca="false">IFERROR(__xludf.dummyfunction("filter(Formulas!$C:$C,Formulas!$A:$A=B184)"),"""formula"":[{""sku"":""1009"",""req"":1}]")</f>
        <v>"formula":[{"sku":"1009","req":1}]</v>
      </c>
      <c r="G184" s="0" t="n">
        <f aca="false">IFERROR(__xludf.dummyfunction("""COMPUTED_VALUE"""),1.2)</f>
        <v>1.2</v>
      </c>
      <c r="H184" s="21" t="str">
        <f aca="false">IFERROR(__xludf.dummyfunction("IF(D184,filter(Productos!AC:AC,Productos!A:A=B184),)"),"fabrica")</f>
        <v>fabrica</v>
      </c>
      <c r="I184" s="24" t="str">
        <f aca="false">IFERROR(__xludf.dummyfunction("""COMPUTED_VALUE"""),"")</f>
        <v/>
      </c>
      <c r="K184" s="0" t="e">
        <f aca="false">IF(D184,"{""sku"":"""&amp;B184&amp;""", ""costo"":"&amp;C184&amp;", ""grupo"":"""&amp;A184&amp;""", ""lote"":"&amp;D184&amp;", ""tiempo"":"&amp;E184&amp;", "&amp;F184&amp;", ""vencimiento"":"&amp;G184&amp;IF(I184,", ""precio"":"&amp;I184,)&amp;", ""tipo"":"""&amp;H184&amp;"""},",)</f>
        <v>#VALUE!</v>
      </c>
    </row>
    <row r="185" customFormat="false" ht="13" hidden="false" customHeight="false" outlineLevel="0" collapsed="false">
      <c r="A185" s="17" t="n">
        <v>3</v>
      </c>
      <c r="B185" s="0" t="n">
        <f aca="false">IFERROR(__xludf.dummyfunction("""COMPUTED_VALUE"""),1310)</f>
        <v>1310</v>
      </c>
      <c r="C185" s="24" t="n">
        <f aca="false">IFERROR(__xludf.dummyfunction("""COMPUTED_VALUE"""),10)</f>
        <v>10</v>
      </c>
      <c r="D185" s="0" t="n">
        <f aca="false">IFERROR(__xludf.dummyfunction("""COMPUTED_VALUE"""),12)</f>
        <v>12</v>
      </c>
      <c r="E185" s="0" t="n">
        <f aca="false">IFERROR(__xludf.dummyfunction("""COMPUTED_VALUE"""),10)</f>
        <v>10</v>
      </c>
      <c r="F185" s="0" t="str">
        <f aca="false">IFERROR(__xludf.dummyfunction("filter(Formulas!$C:$C,Formulas!$A:$A=B185)"),"""formula"":[{""sku"":""1010"",""req"":1}]")</f>
        <v>"formula":[{"sku":"1010","req":1}]</v>
      </c>
      <c r="G185" s="0" t="n">
        <f aca="false">IFERROR(__xludf.dummyfunction("""COMPUTED_VALUE"""),2)</f>
        <v>2</v>
      </c>
      <c r="H185" s="21" t="str">
        <f aca="false">IFERROR(__xludf.dummyfunction("IF(D185,filter(Productos!AC:AC,Productos!A:A=B185),)"),"fabrica")</f>
        <v>fabrica</v>
      </c>
      <c r="I185" s="24" t="str">
        <f aca="false">IFERROR(__xludf.dummyfunction("""COMPUTED_VALUE"""),"")</f>
        <v/>
      </c>
      <c r="K185" s="0" t="e">
        <f aca="false">IF(D185,"{""sku"":"""&amp;B185&amp;""", ""costo"":"&amp;C185&amp;", ""grupo"":"""&amp;A185&amp;""", ""lote"":"&amp;D185&amp;", ""tiempo"":"&amp;E185&amp;", "&amp;F185&amp;", ""vencimiento"":"&amp;G185&amp;IF(I185,", ""precio"":"&amp;I185,)&amp;", ""tipo"":"""&amp;H185&amp;"""},",)</f>
        <v>#VALUE!</v>
      </c>
    </row>
    <row r="186" customFormat="false" ht="13" hidden="false" customHeight="false" outlineLevel="0" collapsed="false">
      <c r="A186" s="16" t="n">
        <v>3</v>
      </c>
      <c r="B186" s="0" t="n">
        <f aca="false">IFERROR(__xludf.dummyfunction("""COMPUTED_VALUE"""),1407)</f>
        <v>1407</v>
      </c>
      <c r="C186" s="24" t="n">
        <f aca="false">IFERROR(__xludf.dummyfunction("""COMPUTED_VALUE"""),10)</f>
        <v>10</v>
      </c>
      <c r="D186" s="0" t="n">
        <f aca="false">IFERROR(__xludf.dummyfunction("""COMPUTED_VALUE"""),14)</f>
        <v>14</v>
      </c>
      <c r="E186" s="0" t="n">
        <f aca="false">IFERROR(__xludf.dummyfunction("""COMPUTED_VALUE"""),30)</f>
        <v>30</v>
      </c>
      <c r="F186" s="0" t="str">
        <f aca="false">IFERROR(__xludf.dummyfunction("filter(Formulas!$C:$C,Formulas!$A:$A=B186)"),"""formula"":[{""sku"":""1007"",""req"":1}]")</f>
        <v>"formula":[{"sku":"1007","req":1}]</v>
      </c>
      <c r="G186" s="0" t="n">
        <f aca="false">IFERROR(__xludf.dummyfunction("""COMPUTED_VALUE"""),2)</f>
        <v>2</v>
      </c>
      <c r="H186" s="21" t="str">
        <f aca="false">IFERROR(__xludf.dummyfunction("IF(D186,filter(Productos!AC:AC,Productos!A:A=B186),)"),"fabrica")</f>
        <v>fabrica</v>
      </c>
      <c r="I186" s="24" t="str">
        <f aca="false">IFERROR(__xludf.dummyfunction("""COMPUTED_VALUE"""),"")</f>
        <v/>
      </c>
      <c r="K186" s="0" t="e">
        <f aca="false">IF(D186,"{""sku"":"""&amp;B186&amp;""", ""costo"":"&amp;C186&amp;", ""grupo"":"""&amp;A186&amp;""", ""lote"":"&amp;D186&amp;", ""tiempo"":"&amp;E186&amp;", "&amp;F186&amp;", ""vencimiento"":"&amp;G186&amp;IF(I186,", ""precio"":"&amp;I186,)&amp;", ""tipo"":"""&amp;H186&amp;"""},",)</f>
        <v>#VALUE!</v>
      </c>
    </row>
    <row r="187" customFormat="false" ht="13" hidden="false" customHeight="false" outlineLevel="0" collapsed="false">
      <c r="A187" s="17" t="n">
        <v>3</v>
      </c>
      <c r="B187" s="0" t="n">
        <f aca="false">IFERROR(__xludf.dummyfunction("""COMPUTED_VALUE"""),10001)</f>
        <v>10001</v>
      </c>
      <c r="C187" s="24" t="n">
        <f aca="false">IFERROR(__xludf.dummyfunction("""COMPUTED_VALUE"""),10)</f>
        <v>10</v>
      </c>
      <c r="D187" s="0" t="n">
        <f aca="false">IFERROR(__xludf.dummyfunction("""COMPUTED_VALUE"""),1)</f>
        <v>1</v>
      </c>
      <c r="E187" s="0" t="n">
        <f aca="false">IFERROR(__xludf.dummyfunction("""COMPUTED_VALUE"""),10)</f>
        <v>10</v>
      </c>
      <c r="F187" s="0" t="str">
        <f aca="false">IFERROR(__xludf.dummyfunction("filter(Formulas!$C:$C,Formulas!$A:$A=B187)"),"""formula"":[{""sku"":""1201"",""req"":1},{""sku"":""1105"",""req"":1},{""sku"":""1210"",""req"":1},{""sku"":""1211"",""req"":1},{""sku"":""1116"",""req"":1}]")</f>
        <v>"formula":[{"sku":"1201","req":1},{"sku":"1105","req":1},{"sku":"1210","req":1},{"sku":"1211","req":1},{"sku":"1116","req":1}]</v>
      </c>
      <c r="G187" s="0" t="n">
        <f aca="false">IFERROR(__xludf.dummyfunction("""COMPUTED_VALUE"""),1)</f>
        <v>1</v>
      </c>
      <c r="H187" s="21" t="str">
        <f aca="false">IFERROR(__xludf.dummyfunction("IF(D187,filter(Productos!AC:AC,Productos!A:A=B187),)"),"cocina")</f>
        <v>cocina</v>
      </c>
      <c r="I187" s="24" t="n">
        <f aca="false">IFERROR(__xludf.dummyfunction("""COMPUTED_VALUE"""),4500)</f>
        <v>4500</v>
      </c>
      <c r="K187" s="0" t="str">
        <f aca="false">IF(D187,"{""sku"":"""&amp;B187&amp;""", ""costo"":"&amp;C187&amp;", ""grupo"":"""&amp;A187&amp;""", ""lote"":"&amp;D187&amp;", ""tiempo"":"&amp;E187&amp;", "&amp;F187&amp;", ""vencimiento"":"&amp;G187&amp;IF(I187,", ""precio"":"&amp;I187,)&amp;", ""tipo"":"""&amp;H187&amp;"""},",)</f>
        <v>{"sku":"10001", "costo":10, "grupo":"3", "lote":1, "tiempo":10, "formula":[{"sku":"1201","req":1},{"sku":"1105","req":1},{"sku":"1210","req":1},{"sku":"1211","req":1},{"sku":"1116","req":1}], "vencimiento":1, "precio":4500, "tipo":"cocina"},</v>
      </c>
    </row>
    <row r="188" customFormat="false" ht="13" hidden="false" customHeight="false" outlineLevel="0" collapsed="false">
      <c r="A188" s="16" t="n">
        <v>3</v>
      </c>
      <c r="B188" s="0" t="n">
        <f aca="false">IFERROR(__xludf.dummyfunction("""COMPUTED_VALUE"""),10002)</f>
        <v>10002</v>
      </c>
      <c r="C188" s="24" t="n">
        <f aca="false">IFERROR(__xludf.dummyfunction("""COMPUTED_VALUE"""),10)</f>
        <v>10</v>
      </c>
      <c r="D188" s="0" t="n">
        <f aca="false">IFERROR(__xludf.dummyfunction("""COMPUTED_VALUE"""),1)</f>
        <v>1</v>
      </c>
      <c r="E188" s="0" t="n">
        <f aca="false">IFERROR(__xludf.dummyfunction("""COMPUTED_VALUE"""),20)</f>
        <v>20</v>
      </c>
      <c r="F188" s="0" t="str">
        <f aca="false">IFERROR(__xludf.dummyfunction("filter(Formulas!$C:$C,Formulas!$A:$A=B188)"),"""formula"":[{""sku"":""1201"",""req"":1},{""sku"":""1105"",""req"":1},{""sku"":""1013"",""req"":5},{""sku"":""1210"",""req"":1},{""sku"":""1116"",""req"":1}]")</f>
        <v>"formula":[{"sku":"1201","req":1},{"sku":"1105","req":1},{"sku":"1013","req":5},{"sku":"1210","req":1},{"sku":"1116","req":1}]</v>
      </c>
      <c r="G188" s="0" t="n">
        <f aca="false">IFERROR(__xludf.dummyfunction("""COMPUTED_VALUE"""),1)</f>
        <v>1</v>
      </c>
      <c r="H188" s="21" t="str">
        <f aca="false">IFERROR(__xludf.dummyfunction("IF(D188,filter(Productos!AC:AC,Productos!A:A=B188),)"),"cocina")</f>
        <v>cocina</v>
      </c>
      <c r="I188" s="24" t="n">
        <f aca="false">IFERROR(__xludf.dummyfunction("""COMPUTED_VALUE"""),4500)</f>
        <v>4500</v>
      </c>
      <c r="K188" s="0" t="str">
        <f aca="false">IF(D188,"{""sku"":"""&amp;B188&amp;""", ""costo"":"&amp;C188&amp;", ""grupo"":"""&amp;A188&amp;""", ""lote"":"&amp;D188&amp;", ""tiempo"":"&amp;E188&amp;", "&amp;F188&amp;", ""vencimiento"":"&amp;G188&amp;IF(I188,", ""precio"":"&amp;I188,)&amp;", ""tipo"":"""&amp;H188&amp;"""},",)</f>
        <v>{"sku":"10002", "costo":10, "grupo":"3", "lote":1, "tiempo":20, "formula":[{"sku":"1201","req":1},{"sku":"1105","req":1},{"sku":"1013","req":5},{"sku":"1210","req":1},{"sku":"1116","req":1}], "vencimiento":1, "precio":4500, "tipo":"cocina"},</v>
      </c>
    </row>
    <row r="189" customFormat="false" ht="13" hidden="false" customHeight="false" outlineLevel="0" collapsed="false">
      <c r="A189" s="17" t="n">
        <v>3</v>
      </c>
      <c r="B189" s="0" t="n">
        <f aca="false">IFERROR(__xludf.dummyfunction("""COMPUTED_VALUE"""),10003)</f>
        <v>10003</v>
      </c>
      <c r="C189" s="24" t="n">
        <f aca="false">IFERROR(__xludf.dummyfunction("""COMPUTED_VALUE"""),10)</f>
        <v>10</v>
      </c>
      <c r="D189" s="0" t="n">
        <f aca="false">IFERROR(__xludf.dummyfunction("""COMPUTED_VALUE"""),1)</f>
        <v>1</v>
      </c>
      <c r="E189" s="0" t="n">
        <f aca="false">IFERROR(__xludf.dummyfunction("""COMPUTED_VALUE"""),30)</f>
        <v>30</v>
      </c>
      <c r="F189" s="0" t="str">
        <f aca="false">IFERROR(__xludf.dummyfunction("filter(Formulas!$C:$C,Formulas!$A:$A=B189)"),"""formula"":[{""sku"":""1201"",""req"":1},{""sku"":""1105"",""req"":1},{""sku"":""1013"",""req"":5},{""sku"":""1210"",""req"":1},{""sku"":""1211"",""req"":1},{""sku"":""1116"",""req"":1}]")</f>
        <v>"formula":[{"sku":"1201","req":1},{"sku":"1105","req":1},{"sku":"1013","req":5},{"sku":"1210","req":1},{"sku":"1211","req":1},{"sku":"1116","req":1}]</v>
      </c>
      <c r="G189" s="0" t="n">
        <f aca="false">IFERROR(__xludf.dummyfunction("""COMPUTED_VALUE"""),1)</f>
        <v>1</v>
      </c>
      <c r="H189" s="21" t="str">
        <f aca="false">IFERROR(__xludf.dummyfunction("IF(D189,filter(Productos!AC:AC,Productos!A:A=B189),)"),"cocina")</f>
        <v>cocina</v>
      </c>
      <c r="I189" s="24" t="n">
        <f aca="false">IFERROR(__xludf.dummyfunction("""COMPUTED_VALUE"""),4700)</f>
        <v>4700</v>
      </c>
      <c r="K189" s="0" t="str">
        <f aca="false">IF(D189,"{""sku"":"""&amp;B189&amp;""", ""costo"":"&amp;C189&amp;", ""grupo"":"""&amp;A189&amp;""", ""lote"":"&amp;D189&amp;", ""tiempo"":"&amp;E189&amp;", "&amp;F189&amp;", ""vencimiento"":"&amp;G189&amp;IF(I189,", ""precio"":"&amp;I189,)&amp;", ""tipo"":"""&amp;H189&amp;"""},",)</f>
        <v>{"sku":"10003", "costo":10, "grupo":"3", "lote":1, "tiempo":30, "formula":[{"sku":"1201","req":1},{"sku":"1105","req":1},{"sku":"1013","req":5},{"sku":"1210","req":1},{"sku":"1211","req":1},{"sku":"1116","req":1}], "vencimiento":1, "precio":4700, "tipo":"cocina"},</v>
      </c>
    </row>
    <row r="190" customFormat="false" ht="13" hidden="false" customHeight="false" outlineLevel="0" collapsed="false">
      <c r="A190" s="16" t="n">
        <v>3</v>
      </c>
      <c r="B190" s="0" t="n">
        <f aca="false">IFERROR(__xludf.dummyfunction("""COMPUTED_VALUE"""),10004)</f>
        <v>10004</v>
      </c>
      <c r="C190" s="24" t="n">
        <f aca="false">IFERROR(__xludf.dummyfunction("""COMPUTED_VALUE"""),10)</f>
        <v>10</v>
      </c>
      <c r="D190" s="0" t="n">
        <f aca="false">IFERROR(__xludf.dummyfunction("""COMPUTED_VALUE"""),1)</f>
        <v>1</v>
      </c>
      <c r="E190" s="0" t="n">
        <f aca="false">IFERROR(__xludf.dummyfunction("""COMPUTED_VALUE"""),10)</f>
        <v>10</v>
      </c>
      <c r="F190" s="0" t="str">
        <f aca="false">IFERROR(__xludf.dummyfunction("filter(Formulas!$C:$C,Formulas!$A:$A=B190)"),"""formula"":[{""sku"":""1201"",""req"":1},{""sku"":""1106"",""req"":4},{""sku"":""1210"",""req"":1},{""sku"":""1211"",""req"":1},{""sku"":""1116"",""req"":1}]")</f>
        <v>"formula":[{"sku":"1201","req":1},{"sku":"1106","req":4},{"sku":"1210","req":1},{"sku":"1211","req":1},{"sku":"1116","req":1}]</v>
      </c>
      <c r="G190" s="0" t="n">
        <f aca="false">IFERROR(__xludf.dummyfunction("""COMPUTED_VALUE"""),1)</f>
        <v>1</v>
      </c>
      <c r="H190" s="21" t="str">
        <f aca="false">IFERROR(__xludf.dummyfunction("IF(D190,filter(Productos!AC:AC,Productos!A:A=B190),)"),"cocina")</f>
        <v>cocina</v>
      </c>
      <c r="I190" s="24" t="n">
        <f aca="false">IFERROR(__xludf.dummyfunction("""COMPUTED_VALUE"""),4700)</f>
        <v>4700</v>
      </c>
      <c r="K190" s="0" t="str">
        <f aca="false">IF(D190,"{""sku"":"""&amp;B190&amp;""", ""costo"":"&amp;C190&amp;", ""grupo"":"""&amp;A190&amp;""", ""lote"":"&amp;D190&amp;", ""tiempo"":"&amp;E190&amp;", "&amp;F190&amp;", ""vencimiento"":"&amp;G190&amp;IF(I190,", ""precio"":"&amp;I190,)&amp;", ""tipo"":"""&amp;H190&amp;"""},",)</f>
        <v>{"sku":"10004", "costo":10, "grupo":"3", "lote":1, "tiempo":10, "formula":[{"sku":"1201","req":1},{"sku":"1106","req":4},{"sku":"1210","req":1},{"sku":"1211","req":1},{"sku":"1116","req":1}], "vencimiento":1, "precio":4700, "tipo":"cocina"},</v>
      </c>
    </row>
    <row r="191" customFormat="false" ht="13" hidden="false" customHeight="false" outlineLevel="0" collapsed="false">
      <c r="A191" s="17" t="n">
        <v>3</v>
      </c>
      <c r="B191" s="0" t="n">
        <f aca="false">IFERROR(__xludf.dummyfunction("""COMPUTED_VALUE"""),10005)</f>
        <v>10005</v>
      </c>
      <c r="C191" s="24" t="n">
        <f aca="false">IFERROR(__xludf.dummyfunction("""COMPUTED_VALUE"""),10)</f>
        <v>10</v>
      </c>
      <c r="D191" s="0" t="n">
        <f aca="false">IFERROR(__xludf.dummyfunction("""COMPUTED_VALUE"""),1)</f>
        <v>1</v>
      </c>
      <c r="E191" s="0" t="n">
        <f aca="false">IFERROR(__xludf.dummyfunction("""COMPUTED_VALUE"""),20)</f>
        <v>20</v>
      </c>
      <c r="F191" s="0" t="str">
        <f aca="false">IFERROR(__xludf.dummyfunction("filter(Formulas!$C:$C,Formulas!$A:$A=B191)"),"""formula"":[{""sku"":""1201"",""req"":1},{""sku"":""1106"",""req"":4},{""sku"":""1013"",""req"":5},{""sku"":""1210"",""req"":1},{""sku"":""1116"",""req"":1}]")</f>
        <v>"formula":[{"sku":"1201","req":1},{"sku":"1106","req":4},{"sku":"1013","req":5},{"sku":"1210","req":1},{"sku":"1116","req":1}]</v>
      </c>
      <c r="G191" s="0" t="n">
        <f aca="false">IFERROR(__xludf.dummyfunction("""COMPUTED_VALUE"""),1)</f>
        <v>1</v>
      </c>
      <c r="H191" s="21" t="str">
        <f aca="false">IFERROR(__xludf.dummyfunction("IF(D191,filter(Productos!AC:AC,Productos!A:A=B191),)"),"cocina")</f>
        <v>cocina</v>
      </c>
      <c r="I191" s="24" t="n">
        <f aca="false">IFERROR(__xludf.dummyfunction("""COMPUTED_VALUE"""),4700)</f>
        <v>4700</v>
      </c>
      <c r="K191" s="0" t="str">
        <f aca="false">IF(D191,"{""sku"":"""&amp;B191&amp;""", ""costo"":"&amp;C191&amp;", ""grupo"":"""&amp;A191&amp;""", ""lote"":"&amp;D191&amp;", ""tiempo"":"&amp;E191&amp;", "&amp;F191&amp;", ""vencimiento"":"&amp;G191&amp;IF(I191,", ""precio"":"&amp;I191,)&amp;", ""tipo"":"""&amp;H191&amp;"""},",)</f>
        <v>{"sku":"10005", "costo":10, "grupo":"3", "lote":1, "tiempo":20, "formula":[{"sku":"1201","req":1},{"sku":"1106","req":4},{"sku":"1013","req":5},{"sku":"1210","req":1},{"sku":"1116","req":1}], "vencimiento":1, "precio":4700, "tipo":"cocina"},</v>
      </c>
    </row>
    <row r="192" customFormat="false" ht="13" hidden="false" customHeight="false" outlineLevel="0" collapsed="false">
      <c r="A192" s="16" t="n">
        <v>3</v>
      </c>
      <c r="B192" s="0" t="n">
        <f aca="false">IFERROR(__xludf.dummyfunction("""COMPUTED_VALUE"""),10006)</f>
        <v>10006</v>
      </c>
      <c r="C192" s="24" t="n">
        <f aca="false">IFERROR(__xludf.dummyfunction("""COMPUTED_VALUE"""),10)</f>
        <v>10</v>
      </c>
      <c r="D192" s="0" t="n">
        <f aca="false">IFERROR(__xludf.dummyfunction("""COMPUTED_VALUE"""),1)</f>
        <v>1</v>
      </c>
      <c r="E192" s="0" t="n">
        <f aca="false">IFERROR(__xludf.dummyfunction("""COMPUTED_VALUE"""),10)</f>
        <v>10</v>
      </c>
      <c r="F192" s="0" t="str">
        <f aca="false">IFERROR(__xludf.dummyfunction("filter(Formulas!$C:$C,Formulas!$A:$A=B192)"),"""formula"":[{""sku"":""1201"",""req"":1},{""sku"":""1210"",""req"":1},{""sku"":""1107"",""req"":1},{""sku"":""1211"",""req"":1},{""sku"":""1116"",""req"":1}]")</f>
        <v>"formula":[{"sku":"1201","req":1},{"sku":"1210","req":1},{"sku":"1107","req":1},{"sku":"1211","req":1},{"sku":"1116","req":1}]</v>
      </c>
      <c r="G192" s="0" t="n">
        <f aca="false">IFERROR(__xludf.dummyfunction("""COMPUTED_VALUE"""),1)</f>
        <v>1</v>
      </c>
      <c r="H192" s="21" t="str">
        <f aca="false">IFERROR(__xludf.dummyfunction("IF(D192,filter(Productos!AC:AC,Productos!A:A=B192),)"),"cocina")</f>
        <v>cocina</v>
      </c>
      <c r="I192" s="24" t="n">
        <f aca="false">IFERROR(__xludf.dummyfunction("""COMPUTED_VALUE"""),4900)</f>
        <v>4900</v>
      </c>
      <c r="K192" s="0" t="str">
        <f aca="false">IF(D192,"{""sku"":"""&amp;B192&amp;""", ""costo"":"&amp;C192&amp;", ""grupo"":"""&amp;A192&amp;""", ""lote"":"&amp;D192&amp;", ""tiempo"":"&amp;E192&amp;", "&amp;F192&amp;", ""vencimiento"":"&amp;G192&amp;IF(I192,", ""precio"":"&amp;I192,)&amp;", ""tipo"":"""&amp;H192&amp;"""},",)</f>
        <v>{"sku":"10006", "costo":10, "grupo":"3", "lote":1, "tiempo":10, "formula":[{"sku":"1201","req":1},{"sku":"1210","req":1},{"sku":"1107","req":1},{"sku":"1211","req":1},{"sku":"1116","req":1}], "vencimiento":1, "precio":4900, "tipo":"cocina"},</v>
      </c>
    </row>
    <row r="193" customFormat="false" ht="13" hidden="false" customHeight="false" outlineLevel="0" collapsed="false">
      <c r="A193" s="17" t="n">
        <v>3</v>
      </c>
      <c r="B193" s="0" t="n">
        <f aca="false">IFERROR(__xludf.dummyfunction("""COMPUTED_VALUE"""),10007)</f>
        <v>10007</v>
      </c>
      <c r="C193" s="24" t="n">
        <f aca="false">IFERROR(__xludf.dummyfunction("""COMPUTED_VALUE"""),10)</f>
        <v>10</v>
      </c>
      <c r="D193" s="0" t="n">
        <f aca="false">IFERROR(__xludf.dummyfunction("""COMPUTED_VALUE"""),1)</f>
        <v>1</v>
      </c>
      <c r="E193" s="0" t="n">
        <f aca="false">IFERROR(__xludf.dummyfunction("""COMPUTED_VALUE"""),20)</f>
        <v>20</v>
      </c>
      <c r="F193" s="0" t="str">
        <f aca="false">IFERROR(__xludf.dummyfunction("filter(Formulas!$C:$C,Formulas!$A:$A=B193)"),"""formula"":[{""sku"":""1201"",""req"":1},{""sku"":""1013"",""req"":5},{""sku"":""1210"",""req"":1},{""sku"":""1107"",""req"":1},{""sku"":""1116"",""req"":1}]")</f>
        <v>"formula":[{"sku":"1201","req":1},{"sku":"1013","req":5},{"sku":"1210","req":1},{"sku":"1107","req":1},{"sku":"1116","req":1}]</v>
      </c>
      <c r="G193" s="0" t="n">
        <f aca="false">IFERROR(__xludf.dummyfunction("""COMPUTED_VALUE"""),1)</f>
        <v>1</v>
      </c>
      <c r="H193" s="21" t="str">
        <f aca="false">IFERROR(__xludf.dummyfunction("IF(D193,filter(Productos!AC:AC,Productos!A:A=B193),)"),"cocina")</f>
        <v>cocina</v>
      </c>
      <c r="I193" s="24" t="n">
        <f aca="false">IFERROR(__xludf.dummyfunction("""COMPUTED_VALUE"""),4900)</f>
        <v>4900</v>
      </c>
      <c r="K193" s="0" t="str">
        <f aca="false">IF(D193,"{""sku"":"""&amp;B193&amp;""", ""costo"":"&amp;C193&amp;", ""grupo"":"""&amp;A193&amp;""", ""lote"":"&amp;D193&amp;", ""tiempo"":"&amp;E193&amp;", "&amp;F193&amp;", ""vencimiento"":"&amp;G193&amp;IF(I193,", ""precio"":"&amp;I193,)&amp;", ""tipo"":"""&amp;H193&amp;"""},",)</f>
        <v>{"sku":"10007", "costo":10, "grupo":"3", "lote":1, "tiempo":20, "formula":[{"sku":"1201","req":1},{"sku":"1013","req":5},{"sku":"1210","req":1},{"sku":"1107","req":1},{"sku":"1116","req":1}], "vencimiento":1, "precio":4900, "tipo":"cocina"},</v>
      </c>
    </row>
    <row r="194" customFormat="false" ht="13" hidden="false" customHeight="false" outlineLevel="0" collapsed="false">
      <c r="A194" s="16" t="n">
        <v>3</v>
      </c>
      <c r="B194" s="0" t="n">
        <f aca="false">IFERROR(__xludf.dummyfunction("""COMPUTED_VALUE"""),10008)</f>
        <v>10008</v>
      </c>
      <c r="C194" s="24" t="n">
        <f aca="false">IFERROR(__xludf.dummyfunction("""COMPUTED_VALUE"""),10)</f>
        <v>10</v>
      </c>
      <c r="D194" s="0" t="n">
        <f aca="false">IFERROR(__xludf.dummyfunction("""COMPUTED_VALUE"""),1)</f>
        <v>1</v>
      </c>
      <c r="E194" s="0" t="n">
        <f aca="false">IFERROR(__xludf.dummyfunction("""COMPUTED_VALUE"""),20)</f>
        <v>20</v>
      </c>
      <c r="F194" s="0" t="str">
        <f aca="false">IFERROR(__xludf.dummyfunction("filter(Formulas!$C:$C,Formulas!$A:$A=B194)"),"""formula"":[{""sku"":""1201"",""req"":1},{""sku"":""1109"",""req"":1},{""sku"":""1210"",""req"":1},{""sku"":""1211"",""req"":1},{""sku"":""1116"",""req"":1}]")</f>
        <v>"formula":[{"sku":"1201","req":1},{"sku":"1109","req":1},{"sku":"1210","req":1},{"sku":"1211","req":1},{"sku":"1116","req":1}]</v>
      </c>
      <c r="G194" s="0" t="n">
        <f aca="false">IFERROR(__xludf.dummyfunction("""COMPUTED_VALUE"""),1)</f>
        <v>1</v>
      </c>
      <c r="H194" s="21" t="str">
        <f aca="false">IFERROR(__xludf.dummyfunction("IF(D194,filter(Productos!AC:AC,Productos!A:A=B194),)"),"cocina")</f>
        <v>cocina</v>
      </c>
      <c r="I194" s="24" t="n">
        <f aca="false">IFERROR(__xludf.dummyfunction("""COMPUTED_VALUE"""),4900)</f>
        <v>4900</v>
      </c>
      <c r="K194" s="0" t="str">
        <f aca="false">IF(D194,"{""sku"":"""&amp;B194&amp;""", ""costo"":"&amp;C194&amp;", ""grupo"":"""&amp;A194&amp;""", ""lote"":"&amp;D194&amp;", ""tiempo"":"&amp;E194&amp;", "&amp;F194&amp;", ""vencimiento"":"&amp;G194&amp;IF(I194,", ""precio"":"&amp;I194,)&amp;", ""tipo"":"""&amp;H194&amp;"""},",)</f>
        <v>{"sku":"10008", "costo":10, "grupo":"3", "lote":1, "tiempo":20, "formula":[{"sku":"1201","req":1},{"sku":"1109","req":1},{"sku":"1210","req":1},{"sku":"1211","req":1},{"sku":"1116","req":1}], "vencimiento":1, "precio":4900, "tipo":"cocina"},</v>
      </c>
    </row>
    <row r="195" customFormat="false" ht="13" hidden="false" customHeight="false" outlineLevel="0" collapsed="false">
      <c r="A195" s="17" t="n">
        <v>3</v>
      </c>
      <c r="B195" s="0" t="n">
        <f aca="false">IFERROR(__xludf.dummyfunction("""COMPUTED_VALUE"""),10009)</f>
        <v>10009</v>
      </c>
      <c r="C195" s="24" t="n">
        <f aca="false">IFERROR(__xludf.dummyfunction("""COMPUTED_VALUE"""),10)</f>
        <v>10</v>
      </c>
      <c r="D195" s="0" t="n">
        <f aca="false">IFERROR(__xludf.dummyfunction("""COMPUTED_VALUE"""),1)</f>
        <v>1</v>
      </c>
      <c r="E195" s="0" t="n">
        <f aca="false">IFERROR(__xludf.dummyfunction("""COMPUTED_VALUE"""),30)</f>
        <v>30</v>
      </c>
      <c r="F195" s="0" t="str">
        <f aca="false">IFERROR(__xludf.dummyfunction("filter(Formulas!$C:$C,Formulas!$A:$A=B195)"),"""formula"":[{""sku"":""1201"",""req"":1},{""sku"":""1109"",""req"":1},{""sku"":""1013"",""req"":5},{""sku"":""1210"",""req"":1},{""sku"":""1116"",""req"":1}]")</f>
        <v>"formula":[{"sku":"1201","req":1},{"sku":"1109","req":1},{"sku":"1013","req":5},{"sku":"1210","req":1},{"sku":"1116","req":1}]</v>
      </c>
      <c r="G195" s="0" t="n">
        <f aca="false">IFERROR(__xludf.dummyfunction("""COMPUTED_VALUE"""),1)</f>
        <v>1</v>
      </c>
      <c r="H195" s="21" t="str">
        <f aca="false">IFERROR(__xludf.dummyfunction("IF(D195,filter(Productos!AC:AC,Productos!A:A=B195),)"),"cocina")</f>
        <v>cocina</v>
      </c>
      <c r="I195" s="24" t="n">
        <f aca="false">IFERROR(__xludf.dummyfunction("""COMPUTED_VALUE"""),4900)</f>
        <v>4900</v>
      </c>
      <c r="K195" s="0" t="str">
        <f aca="false">IF(D195,"{""sku"":"""&amp;B195&amp;""", ""costo"":"&amp;C195&amp;", ""grupo"":"""&amp;A195&amp;""", ""lote"":"&amp;D195&amp;", ""tiempo"":"&amp;E195&amp;", "&amp;F195&amp;", ""vencimiento"":"&amp;G195&amp;IF(I195,", ""precio"":"&amp;I195,)&amp;", ""tipo"":"""&amp;H195&amp;"""},",)</f>
        <v>{"sku":"10009", "costo":10, "grupo":"3", "lote":1, "tiempo":30, "formula":[{"sku":"1201","req":1},{"sku":"1109","req":1},{"sku":"1013","req":5},{"sku":"1210","req":1},{"sku":"1116","req":1}], "vencimiento":1, "precio":4900, "tipo":"cocina"},</v>
      </c>
    </row>
    <row r="196" customFormat="false" ht="13" hidden="false" customHeight="false" outlineLevel="0" collapsed="false">
      <c r="A196" s="16" t="n">
        <v>3</v>
      </c>
      <c r="B196" s="0" t="n">
        <f aca="false">IFERROR(__xludf.dummyfunction("""COMPUTED_VALUE"""),10010)</f>
        <v>10010</v>
      </c>
      <c r="C196" s="24" t="n">
        <f aca="false">IFERROR(__xludf.dummyfunction("""COMPUTED_VALUE"""),10)</f>
        <v>10</v>
      </c>
      <c r="D196" s="0" t="n">
        <f aca="false">IFERROR(__xludf.dummyfunction("""COMPUTED_VALUE"""),1)</f>
        <v>1</v>
      </c>
      <c r="E196" s="0" t="n">
        <f aca="false">IFERROR(__xludf.dummyfunction("""COMPUTED_VALUE"""),10)</f>
        <v>10</v>
      </c>
      <c r="F196" s="0" t="str">
        <f aca="false">IFERROR(__xludf.dummyfunction("filter(Formulas!$C:$C,Formulas!$A:$A=B196)"),"""formula"":[{""sku"":""1201"",""req"":1},{""sku"":""1106"",""req"":4},{""sku"":""1210"",""req"":1},{""sku"":""1110"",""req"":1},{""sku"":""1116"",""req"":1}]")</f>
        <v>"formula":[{"sku":"1201","req":1},{"sku":"1106","req":4},{"sku":"1210","req":1},{"sku":"1110","req":1},{"sku":"1116","req":1}]</v>
      </c>
      <c r="G196" s="0" t="n">
        <f aca="false">IFERROR(__xludf.dummyfunction("""COMPUTED_VALUE"""),1)</f>
        <v>1</v>
      </c>
      <c r="H196" s="21" t="str">
        <f aca="false">IFERROR(__xludf.dummyfunction("IF(D196,filter(Productos!AC:AC,Productos!A:A=B196),)"),"cocina")</f>
        <v>cocina</v>
      </c>
      <c r="I196" s="24" t="n">
        <f aca="false">IFERROR(__xludf.dummyfunction("""COMPUTED_VALUE"""),4900)</f>
        <v>4900</v>
      </c>
      <c r="K196" s="0" t="str">
        <f aca="false">IF(D196,"{""sku"":"""&amp;B196&amp;""", ""costo"":"&amp;C196&amp;", ""grupo"":"""&amp;A196&amp;""", ""lote"":"&amp;D196&amp;", ""tiempo"":"&amp;E196&amp;", "&amp;F196&amp;", ""vencimiento"":"&amp;G196&amp;IF(I196,", ""precio"":"&amp;I196,)&amp;", ""tipo"":"""&amp;H196&amp;"""},",)</f>
        <v>{"sku":"10010", "costo":10, "grupo":"3", "lote":1, "tiempo":10, "formula":[{"sku":"1201","req":1},{"sku":"1106","req":4},{"sku":"1210","req":1},{"sku":"1110","req":1},{"sku":"1116","req":1}], "vencimiento":1, "precio":4900, "tipo":"cocina"},</v>
      </c>
    </row>
    <row r="197" customFormat="false" ht="13" hidden="false" customHeight="false" outlineLevel="0" collapsed="false">
      <c r="A197" s="17" t="n">
        <v>3</v>
      </c>
      <c r="B197" s="0" t="n">
        <f aca="false">IFERROR(__xludf.dummyfunction("""COMPUTED_VALUE"""),10011)</f>
        <v>10011</v>
      </c>
      <c r="C197" s="24" t="n">
        <f aca="false">IFERROR(__xludf.dummyfunction("""COMPUTED_VALUE"""),10)</f>
        <v>10</v>
      </c>
      <c r="D197" s="0" t="n">
        <f aca="false">IFERROR(__xludf.dummyfunction("""COMPUTED_VALUE"""),1)</f>
        <v>1</v>
      </c>
      <c r="E197" s="0" t="n">
        <f aca="false">IFERROR(__xludf.dummyfunction("""COMPUTED_VALUE"""),20)</f>
        <v>20</v>
      </c>
      <c r="F197" s="0" t="str">
        <f aca="false">IFERROR(__xludf.dummyfunction("filter(Formulas!$C:$C,Formulas!$A:$A=B197)"),"""formula"":[{""sku"":""1201"",""req"":1},{""sku"":""1106"",""req"":4},{""sku"":""1114"",""req"":1},{""sku"":""1110"",""req"":1},{""sku"":""1112"",""req"":1},{""sku"":""1116"",""req"":1}]")</f>
        <v>"formula":[{"sku":"1201","req":1},{"sku":"1106","req":4},{"sku":"1114","req":1},{"sku":"1110","req":1},{"sku":"1112","req":1},{"sku":"1116","req":1}]</v>
      </c>
      <c r="G197" s="0" t="n">
        <f aca="false">IFERROR(__xludf.dummyfunction("""COMPUTED_VALUE"""),1)</f>
        <v>1</v>
      </c>
      <c r="H197" s="21" t="str">
        <f aca="false">IFERROR(__xludf.dummyfunction("IF(D197,filter(Productos!AC:AC,Productos!A:A=B197),)"),"cocina")</f>
        <v>cocina</v>
      </c>
      <c r="I197" s="24" t="n">
        <f aca="false">IFERROR(__xludf.dummyfunction("""COMPUTED_VALUE"""),5700)</f>
        <v>5700</v>
      </c>
      <c r="K197" s="0" t="str">
        <f aca="false">IF(D197,"{""sku"":"""&amp;B197&amp;""", ""costo"":"&amp;C197&amp;", ""grupo"":"""&amp;A197&amp;""", ""lote"":"&amp;D197&amp;", ""tiempo"":"&amp;E197&amp;", "&amp;F197&amp;", ""vencimiento"":"&amp;G197&amp;IF(I197,", ""precio"":"&amp;I197,)&amp;", ""tipo"":"""&amp;H197&amp;"""},",)</f>
        <v>{"sku":"10011", "costo":10, "grupo":"3", "lote":1, "tiempo":20, "formula":[{"sku":"1201","req":1},{"sku":"1106","req":4},{"sku":"1114","req":1},{"sku":"1110","req":1},{"sku":"1112","req":1},{"sku":"1116","req":1}], "vencimiento":1, "precio":5700, "tipo":"cocina"},</v>
      </c>
    </row>
    <row r="198" customFormat="false" ht="13" hidden="false" customHeight="false" outlineLevel="0" collapsed="false">
      <c r="A198" s="16" t="n">
        <v>3</v>
      </c>
      <c r="B198" s="0" t="n">
        <f aca="false">IFERROR(__xludf.dummyfunction("""COMPUTED_VALUE"""),10012)</f>
        <v>10012</v>
      </c>
      <c r="C198" s="24" t="n">
        <f aca="false">IFERROR(__xludf.dummyfunction("""COMPUTED_VALUE"""),10)</f>
        <v>10</v>
      </c>
      <c r="D198" s="0" t="n">
        <f aca="false">IFERROR(__xludf.dummyfunction("""COMPUTED_VALUE"""),1)</f>
        <v>1</v>
      </c>
      <c r="E198" s="0" t="n">
        <f aca="false">IFERROR(__xludf.dummyfunction("""COMPUTED_VALUE"""),20)</f>
        <v>20</v>
      </c>
      <c r="F198" s="0" t="str">
        <f aca="false">IFERROR(__xludf.dummyfunction("filter(Formulas!$C:$C,Formulas!$A:$A=B198)"),"""formula"":[{""sku"":""1201"",""req"":1},{""sku"":""1106"",""req"":4},{""sku"":""1110"",""req"":1},{""sku"":""1112"",""req"":1},{""sku"":""1108"",""req"":1},{""sku"":""1116"",""req"":1}]")</f>
        <v>"formula":[{"sku":"1201","req":1},{"sku":"1106","req":4},{"sku":"1110","req":1},{"sku":"1112","req":1},{"sku":"1108","req":1},{"sku":"1116","req":1}]</v>
      </c>
      <c r="G198" s="0" t="n">
        <f aca="false">IFERROR(__xludf.dummyfunction("""COMPUTED_VALUE"""),1)</f>
        <v>1</v>
      </c>
      <c r="H198" s="21" t="str">
        <f aca="false">IFERROR(__xludf.dummyfunction("IF(D198,filter(Productos!AC:AC,Productos!A:A=B198),)"),"cocina")</f>
        <v>cocina</v>
      </c>
      <c r="I198" s="24" t="n">
        <f aca="false">IFERROR(__xludf.dummyfunction("""COMPUTED_VALUE"""),5700)</f>
        <v>5700</v>
      </c>
      <c r="K198" s="0" t="str">
        <f aca="false">IF(D198,"{""sku"":"""&amp;B198&amp;""", ""costo"":"&amp;C198&amp;", ""grupo"":"""&amp;A198&amp;""", ""lote"":"&amp;D198&amp;", ""tiempo"":"&amp;E198&amp;", "&amp;F198&amp;", ""vencimiento"":"&amp;G198&amp;IF(I198,", ""precio"":"&amp;I198,)&amp;", ""tipo"":"""&amp;H198&amp;"""},",)</f>
        <v>{"sku":"10012", "costo":10, "grupo":"3", "lote":1, "tiempo":20, "formula":[{"sku":"1201","req":1},{"sku":"1106","req":4},{"sku":"1110","req":1},{"sku":"1112","req":1},{"sku":"1108","req":1},{"sku":"1116","req":1}], "vencimiento":1, "precio":5700, "tipo":"cocina"},</v>
      </c>
    </row>
    <row r="199" customFormat="false" ht="13" hidden="false" customHeight="false" outlineLevel="0" collapsed="false">
      <c r="A199" s="17" t="n">
        <v>3</v>
      </c>
      <c r="B199" s="0" t="n">
        <f aca="false">IFERROR(__xludf.dummyfunction("""COMPUTED_VALUE"""),10013)</f>
        <v>10013</v>
      </c>
      <c r="C199" s="24" t="n">
        <f aca="false">IFERROR(__xludf.dummyfunction("""COMPUTED_VALUE"""),10)</f>
        <v>10</v>
      </c>
      <c r="D199" s="0" t="n">
        <f aca="false">IFERROR(__xludf.dummyfunction("""COMPUTED_VALUE"""),1)</f>
        <v>1</v>
      </c>
      <c r="E199" s="0" t="n">
        <f aca="false">IFERROR(__xludf.dummyfunction("""COMPUTED_VALUE"""),10)</f>
        <v>10</v>
      </c>
      <c r="F199" s="0" t="str">
        <f aca="false">IFERROR(__xludf.dummyfunction("filter(Formulas!$C:$C,Formulas!$A:$A=B199)"),"""formula"":[{""sku"":""1201"",""req"":1},{""sku"":""1106"",""req"":4},{""sku"":""1110"",""req"":1},{""sku"":""1112"",""req"":1},{""sku"":""1116"",""req"":1}]")</f>
        <v>"formula":[{"sku":"1201","req":1},{"sku":"1106","req":4},{"sku":"1110","req":1},{"sku":"1112","req":1},{"sku":"1116","req":1}]</v>
      </c>
      <c r="G199" s="0" t="n">
        <f aca="false">IFERROR(__xludf.dummyfunction("""COMPUTED_VALUE"""),1)</f>
        <v>1</v>
      </c>
      <c r="H199" s="21" t="str">
        <f aca="false">IFERROR(__xludf.dummyfunction("IF(D199,filter(Productos!AC:AC,Productos!A:A=B199),)"),"cocina")</f>
        <v>cocina</v>
      </c>
      <c r="I199" s="24" t="n">
        <f aca="false">IFERROR(__xludf.dummyfunction("""COMPUTED_VALUE"""),5700)</f>
        <v>5700</v>
      </c>
      <c r="K199" s="0" t="str">
        <f aca="false">IF(D199,"{""sku"":"""&amp;B199&amp;""", ""costo"":"&amp;C199&amp;", ""grupo"":"""&amp;A199&amp;""", ""lote"":"&amp;D199&amp;", ""tiempo"":"&amp;E199&amp;", "&amp;F199&amp;", ""vencimiento"":"&amp;G199&amp;IF(I199,", ""precio"":"&amp;I199,)&amp;", ""tipo"":"""&amp;H199&amp;"""},",)</f>
        <v>{"sku":"10013", "costo":10, "grupo":"3", "lote":1, "tiempo":10, "formula":[{"sku":"1201","req":1},{"sku":"1106","req":4},{"sku":"1110","req":1},{"sku":"1112","req":1},{"sku":"1116","req":1}], "vencimiento":1, "precio":5700, "tipo":"cocina"},</v>
      </c>
    </row>
    <row r="200" customFormat="false" ht="13" hidden="false" customHeight="false" outlineLevel="0" collapsed="false">
      <c r="A200" s="16" t="n">
        <v>3</v>
      </c>
      <c r="B200" s="0" t="n">
        <f aca="false">IFERROR(__xludf.dummyfunction("""COMPUTED_VALUE"""),10014)</f>
        <v>10014</v>
      </c>
      <c r="C200" s="24" t="n">
        <f aca="false">IFERROR(__xludf.dummyfunction("""COMPUTED_VALUE"""),10)</f>
        <v>10</v>
      </c>
      <c r="D200" s="0" t="n">
        <f aca="false">IFERROR(__xludf.dummyfunction("""COMPUTED_VALUE"""),1)</f>
        <v>1</v>
      </c>
      <c r="E200" s="0" t="n">
        <f aca="false">IFERROR(__xludf.dummyfunction("""COMPUTED_VALUE"""),10)</f>
        <v>10</v>
      </c>
      <c r="F200" s="0" t="str">
        <f aca="false">IFERROR(__xludf.dummyfunction("filter(Formulas!$C:$C,Formulas!$A:$A=B200)"),"""formula"":[{""sku"":""1201"",""req"":1},{""sku"":""1105"",""req"":1},{""sku"":""1110"",""req"":1},{""sku"":""1112"",""req"":1},{""sku"":""1116"",""req"":1}]")</f>
        <v>"formula":[{"sku":"1201","req":1},{"sku":"1105","req":1},{"sku":"1110","req":1},{"sku":"1112","req":1},{"sku":"1116","req":1}]</v>
      </c>
      <c r="G200" s="0" t="n">
        <f aca="false">IFERROR(__xludf.dummyfunction("""COMPUTED_VALUE"""),1)</f>
        <v>1</v>
      </c>
      <c r="H200" s="21" t="str">
        <f aca="false">IFERROR(__xludf.dummyfunction("IF(D200,filter(Productos!AC:AC,Productos!A:A=B200),)"),"cocina")</f>
        <v>cocina</v>
      </c>
      <c r="I200" s="24" t="n">
        <f aca="false">IFERROR(__xludf.dummyfunction("""COMPUTED_VALUE"""),4900)</f>
        <v>4900</v>
      </c>
      <c r="K200" s="0" t="str">
        <f aca="false">IF(D200,"{""sku"":"""&amp;B200&amp;""", ""costo"":"&amp;C200&amp;", ""grupo"":"""&amp;A200&amp;""", ""lote"":"&amp;D200&amp;", ""tiempo"":"&amp;E200&amp;", "&amp;F200&amp;", ""vencimiento"":"&amp;G200&amp;IF(I200,", ""precio"":"&amp;I200,)&amp;", ""tipo"":"""&amp;H200&amp;"""},",)</f>
        <v>{"sku":"10014", "costo":10, "grupo":"3", "lote":1, "tiempo":10, "formula":[{"sku":"1201","req":1},{"sku":"1105","req":1},{"sku":"1110","req":1},{"sku":"1112","req":1},{"sku":"1116","req":1}], "vencimiento":1, "precio":4900, "tipo":"cocina"},</v>
      </c>
    </row>
    <row r="201" customFormat="false" ht="13" hidden="false" customHeight="false" outlineLevel="0" collapsed="false">
      <c r="A201" s="17" t="n">
        <v>3</v>
      </c>
      <c r="B201" s="0" t="n">
        <f aca="false">IFERROR(__xludf.dummyfunction("""COMPUTED_VALUE"""),10015)</f>
        <v>10015</v>
      </c>
      <c r="C201" s="24" t="n">
        <f aca="false">IFERROR(__xludf.dummyfunction("""COMPUTED_VALUE"""),10)</f>
        <v>10</v>
      </c>
      <c r="D201" s="0" t="n">
        <f aca="false">IFERROR(__xludf.dummyfunction("""COMPUTED_VALUE"""),1)</f>
        <v>1</v>
      </c>
      <c r="E201" s="0" t="n">
        <f aca="false">IFERROR(__xludf.dummyfunction("""COMPUTED_VALUE"""),20)</f>
        <v>20</v>
      </c>
      <c r="F201" s="0" t="str">
        <f aca="false">IFERROR(__xludf.dummyfunction("filter(Formulas!$C:$C,Formulas!$A:$A=B201)"),"""formula"":[{""sku"":""1201"",""req"":1},{""sku"":""1109"",""req"":1},{""sku"":""1115"",""req"":1},{""sku"":""1110"",""req"":1},{""sku"":""1112"",""req"":1},{""sku"":""1116"",""req"":1}]")</f>
        <v>"formula":[{"sku":"1201","req":1},{"sku":"1109","req":1},{"sku":"1115","req":1},{"sku":"1110","req":1},{"sku":"1112","req":1},{"sku":"1116","req":1}]</v>
      </c>
      <c r="G201" s="0" t="n">
        <f aca="false">IFERROR(__xludf.dummyfunction("""COMPUTED_VALUE"""),1)</f>
        <v>1</v>
      </c>
      <c r="H201" s="21" t="str">
        <f aca="false">IFERROR(__xludf.dummyfunction("IF(D201,filter(Productos!AC:AC,Productos!A:A=B201),)"),"cocina")</f>
        <v>cocina</v>
      </c>
      <c r="I201" s="24" t="n">
        <f aca="false">IFERROR(__xludf.dummyfunction("""COMPUTED_VALUE"""),5700)</f>
        <v>5700</v>
      </c>
      <c r="K201" s="0" t="str">
        <f aca="false">IF(D201,"{""sku"":"""&amp;B201&amp;""", ""costo"":"&amp;C201&amp;", ""grupo"":"""&amp;A201&amp;""", ""lote"":"&amp;D201&amp;", ""tiempo"":"&amp;E201&amp;", "&amp;F201&amp;", ""vencimiento"":"&amp;G201&amp;IF(I201,", ""precio"":"&amp;I201,)&amp;", ""tipo"":"""&amp;H201&amp;"""},",)</f>
        <v>{"sku":"10015", "costo":10, "grupo":"3", "lote":1, "tiempo":20, "formula":[{"sku":"1201","req":1},{"sku":"1109","req":1},{"sku":"1115","req":1},{"sku":"1110","req":1},{"sku":"1112","req":1},{"sku":"1116","req":1}], "vencimiento":1, "precio":5700, "tipo":"cocina"},</v>
      </c>
    </row>
    <row r="202" customFormat="false" ht="13" hidden="false" customHeight="false" outlineLevel="0" collapsed="false">
      <c r="A202" s="16" t="n">
        <v>3</v>
      </c>
      <c r="B202" s="0" t="n">
        <f aca="false">IFERROR(__xludf.dummyfunction("""COMPUTED_VALUE"""),10016)</f>
        <v>10016</v>
      </c>
      <c r="C202" s="24" t="n">
        <f aca="false">IFERROR(__xludf.dummyfunction("""COMPUTED_VALUE"""),10)</f>
        <v>10</v>
      </c>
      <c r="D202" s="0" t="n">
        <f aca="false">IFERROR(__xludf.dummyfunction("""COMPUTED_VALUE"""),1)</f>
        <v>1</v>
      </c>
      <c r="E202" s="0" t="n">
        <f aca="false">IFERROR(__xludf.dummyfunction("""COMPUTED_VALUE"""),20)</f>
        <v>20</v>
      </c>
      <c r="F202" s="0" t="str">
        <f aca="false">IFERROR(__xludf.dummyfunction("filter(Formulas!$C:$C,Formulas!$A:$A=B202)"),"""formula"":[{""sku"":""1201"",""req"":1},{""sku"":""1106"",""req"":4},{""sku"":""1110"",""req"":1},{""sku"":""1112"",""req"":1},{""sku"":""1107"",""req"":1},{""sku"":""1116"",""req"":1}]")</f>
        <v>"formula":[{"sku":"1201","req":1},{"sku":"1106","req":4},{"sku":"1110","req":1},{"sku":"1112","req":1},{"sku":"1107","req":1},{"sku":"1116","req":1}]</v>
      </c>
      <c r="G202" s="0" t="n">
        <f aca="false">IFERROR(__xludf.dummyfunction("""COMPUTED_VALUE"""),1)</f>
        <v>1</v>
      </c>
      <c r="H202" s="21" t="str">
        <f aca="false">IFERROR(__xludf.dummyfunction("IF(D202,filter(Productos!AC:AC,Productos!A:A=B202),)"),"cocina")</f>
        <v>cocina</v>
      </c>
      <c r="I202" s="24" t="n">
        <f aca="false">IFERROR(__xludf.dummyfunction("""COMPUTED_VALUE"""),5700)</f>
        <v>5700</v>
      </c>
      <c r="K202" s="0" t="str">
        <f aca="false">IF(D202,"{""sku"":"""&amp;B202&amp;""", ""costo"":"&amp;C202&amp;", ""grupo"":"""&amp;A202&amp;""", ""lote"":"&amp;D202&amp;", ""tiempo"":"&amp;E202&amp;", "&amp;F202&amp;", ""vencimiento"":"&amp;G202&amp;IF(I202,", ""precio"":"&amp;I202,)&amp;", ""tipo"":"""&amp;H202&amp;"""},",)</f>
        <v>{"sku":"10016", "costo":10, "grupo":"3", "lote":1, "tiempo":20, "formula":[{"sku":"1201","req":1},{"sku":"1106","req":4},{"sku":"1110","req":1},{"sku":"1112","req":1},{"sku":"1107","req":1},{"sku":"1116","req":1}], "vencimiento":1, "precio":5700, "tipo":"cocina"},</v>
      </c>
    </row>
    <row r="203" customFormat="false" ht="13" hidden="false" customHeight="false" outlineLevel="0" collapsed="false">
      <c r="A203" s="17" t="n">
        <v>3</v>
      </c>
      <c r="B203" s="0" t="n">
        <f aca="false">IFERROR(__xludf.dummyfunction("""COMPUTED_VALUE"""),10017)</f>
        <v>10017</v>
      </c>
      <c r="C203" s="24" t="n">
        <f aca="false">IFERROR(__xludf.dummyfunction("""COMPUTED_VALUE"""),10)</f>
        <v>10</v>
      </c>
      <c r="D203" s="0" t="n">
        <f aca="false">IFERROR(__xludf.dummyfunction("""COMPUTED_VALUE"""),1)</f>
        <v>1</v>
      </c>
      <c r="E203" s="0" t="n">
        <f aca="false">IFERROR(__xludf.dummyfunction("""COMPUTED_VALUE"""),10)</f>
        <v>10</v>
      </c>
      <c r="F203" s="0" t="str">
        <f aca="false">IFERROR(__xludf.dummyfunction("filter(Formulas!$C:$C,Formulas!$A:$A=B203)"),"""formula"":[{""sku"":""1201"",""req"":1},{""sku"":""1110"",""req"":1},{""sku"":""1112"",""req"":1},{""sku"":""1107"",""req"":1},{""sku"":""1116"",""req"":1}]")</f>
        <v>"formula":[{"sku":"1201","req":1},{"sku":"1110","req":1},{"sku":"1112","req":1},{"sku":"1107","req":1},{"sku":"1116","req":1}]</v>
      </c>
      <c r="G203" s="0" t="n">
        <f aca="false">IFERROR(__xludf.dummyfunction("""COMPUTED_VALUE"""),1)</f>
        <v>1</v>
      </c>
      <c r="H203" s="21" t="str">
        <f aca="false">IFERROR(__xludf.dummyfunction("IF(D203,filter(Productos!AC:AC,Productos!A:A=B203),)"),"cocina")</f>
        <v>cocina</v>
      </c>
      <c r="I203" s="24" t="n">
        <f aca="false">IFERROR(__xludf.dummyfunction("""COMPUTED_VALUE"""),5700)</f>
        <v>5700</v>
      </c>
      <c r="K203" s="0" t="str">
        <f aca="false">IF(D203,"{""sku"":"""&amp;B203&amp;""", ""costo"":"&amp;C203&amp;", ""grupo"":"""&amp;A203&amp;""", ""lote"":"&amp;D203&amp;", ""tiempo"":"&amp;E203&amp;", "&amp;F203&amp;", ""vencimiento"":"&amp;G203&amp;IF(I203,", ""precio"":"&amp;I203,)&amp;", ""tipo"":"""&amp;H203&amp;"""},",)</f>
        <v>{"sku":"10017", "costo":10, "grupo":"3", "lote":1, "tiempo":10, "formula":[{"sku":"1201","req":1},{"sku":"1110","req":1},{"sku":"1112","req":1},{"sku":"1107","req":1},{"sku":"1116","req":1}], "vencimiento":1, "precio":5700, "tipo":"cocina"},</v>
      </c>
    </row>
    <row r="204" customFormat="false" ht="13" hidden="false" customHeight="false" outlineLevel="0" collapsed="false">
      <c r="A204" s="16" t="n">
        <v>3</v>
      </c>
      <c r="B204" s="0" t="n">
        <f aca="false">IFERROR(__xludf.dummyfunction("""COMPUTED_VALUE"""),10018)</f>
        <v>10018</v>
      </c>
      <c r="C204" s="24" t="n">
        <f aca="false">IFERROR(__xludf.dummyfunction("""COMPUTED_VALUE"""),10)</f>
        <v>10</v>
      </c>
      <c r="D204" s="0" t="n">
        <f aca="false">IFERROR(__xludf.dummyfunction("""COMPUTED_VALUE"""),1)</f>
        <v>1</v>
      </c>
      <c r="E204" s="0" t="n">
        <f aca="false">IFERROR(__xludf.dummyfunction("""COMPUTED_VALUE"""),10)</f>
        <v>10</v>
      </c>
      <c r="F204" s="0" t="str">
        <f aca="false">IFERROR(__xludf.dummyfunction("filter(Formulas!$C:$C,Formulas!$A:$A=B204)"),"""formula"":[{""sku"":""1201"",""req"":1},{""sku"":""1105"",""req"":1},{""sku"":""1112"",""req"":1},{""sku"":""1407"",""req"":1},{""sku"":""1116"",""req"":1}]")</f>
        <v>"formula":[{"sku":"1201","req":1},{"sku":"1105","req":1},{"sku":"1112","req":1},{"sku":"1407","req":1},{"sku":"1116","req":1}]</v>
      </c>
      <c r="G204" s="0" t="n">
        <f aca="false">IFERROR(__xludf.dummyfunction("""COMPUTED_VALUE"""),1)</f>
        <v>1</v>
      </c>
      <c r="H204" s="21" t="str">
        <f aca="false">IFERROR(__xludf.dummyfunction("IF(D204,filter(Productos!AC:AC,Productos!A:A=B204),)"),"cocina")</f>
        <v>cocina</v>
      </c>
      <c r="I204" s="24" t="n">
        <f aca="false">IFERROR(__xludf.dummyfunction("""COMPUTED_VALUE"""),5700)</f>
        <v>5700</v>
      </c>
      <c r="K204" s="0" t="str">
        <f aca="false">IF(D204,"{""sku"":"""&amp;B204&amp;""", ""costo"":"&amp;C204&amp;", ""grupo"":"""&amp;A204&amp;""", ""lote"":"&amp;D204&amp;", ""tiempo"":"&amp;E204&amp;", "&amp;F204&amp;", ""vencimiento"":"&amp;G204&amp;IF(I204,", ""precio"":"&amp;I204,)&amp;", ""tipo"":"""&amp;H204&amp;"""},",)</f>
        <v>{"sku":"10018", "costo":10, "grupo":"3", "lote":1, "tiempo":10, "formula":[{"sku":"1201","req":1},{"sku":"1105","req":1},{"sku":"1112","req":1},{"sku":"1407","req":1},{"sku":"1116","req":1}], "vencimiento":1, "precio":5700, "tipo":"cocina"},</v>
      </c>
    </row>
    <row r="205" customFormat="false" ht="13" hidden="false" customHeight="false" outlineLevel="0" collapsed="false">
      <c r="A205" s="17" t="n">
        <v>3</v>
      </c>
      <c r="B205" s="0" t="n">
        <f aca="false">IFERROR(__xludf.dummyfunction("""COMPUTED_VALUE"""),10019)</f>
        <v>10019</v>
      </c>
      <c r="C205" s="24" t="n">
        <f aca="false">IFERROR(__xludf.dummyfunction("""COMPUTED_VALUE"""),10)</f>
        <v>10</v>
      </c>
      <c r="D205" s="0" t="n">
        <f aca="false">IFERROR(__xludf.dummyfunction("""COMPUTED_VALUE"""),1)</f>
        <v>1</v>
      </c>
      <c r="E205" s="0" t="n">
        <f aca="false">IFERROR(__xludf.dummyfunction("""COMPUTED_VALUE"""),10)</f>
        <v>10</v>
      </c>
      <c r="F205" s="0" t="str">
        <f aca="false">IFERROR(__xludf.dummyfunction("filter(Formulas!$C:$C,Formulas!$A:$A=B205)"),"""formula"":[{""sku"":""1201"",""req"":1},{""sku"":""1106"",""req"":4},{""sku"":""1210"",""req"":1},{""sku"":""1116"",""req"":1},{""sku"":""1407"",""req"":1}]")</f>
        <v>"formula":[{"sku":"1201","req":1},{"sku":"1106","req":4},{"sku":"1210","req":1},{"sku":"1116","req":1},{"sku":"1407","req":1}]</v>
      </c>
      <c r="G205" s="0" t="n">
        <f aca="false">IFERROR(__xludf.dummyfunction("""COMPUTED_VALUE"""),1)</f>
        <v>1</v>
      </c>
      <c r="H205" s="21" t="str">
        <f aca="false">IFERROR(__xludf.dummyfunction("IF(D205,filter(Productos!AC:AC,Productos!A:A=B205),)"),"cocina")</f>
        <v>cocina</v>
      </c>
      <c r="I205" s="24" t="n">
        <f aca="false">IFERROR(__xludf.dummyfunction("""COMPUTED_VALUE"""),5700)</f>
        <v>5700</v>
      </c>
      <c r="K205" s="0" t="str">
        <f aca="false">IF(D205,"{""sku"":"""&amp;B205&amp;""", ""costo"":"&amp;C205&amp;", ""grupo"":"""&amp;A205&amp;""", ""lote"":"&amp;D205&amp;", ""tiempo"":"&amp;E205&amp;", "&amp;F205&amp;", ""vencimiento"":"&amp;G205&amp;IF(I205,", ""precio"":"&amp;I205,)&amp;", ""tipo"":"""&amp;H205&amp;"""},",)</f>
        <v>{"sku":"10019", "costo":10, "grupo":"3", "lote":1, "tiempo":10, "formula":[{"sku":"1201","req":1},{"sku":"1106","req":4},{"sku":"1210","req":1},{"sku":"1116","req":1},{"sku":"1407","req":1}], "vencimiento":1, "precio":5700, "tipo":"cocina"},</v>
      </c>
    </row>
    <row r="206" customFormat="false" ht="13" hidden="false" customHeight="false" outlineLevel="0" collapsed="false">
      <c r="A206" s="16" t="n">
        <v>3</v>
      </c>
      <c r="B206" s="0" t="n">
        <f aca="false">IFERROR(__xludf.dummyfunction("""COMPUTED_VALUE"""),10020)</f>
        <v>10020</v>
      </c>
      <c r="C206" s="24" t="n">
        <f aca="false">IFERROR(__xludf.dummyfunction("""COMPUTED_VALUE"""),10)</f>
        <v>10</v>
      </c>
      <c r="D206" s="0" t="n">
        <f aca="false">IFERROR(__xludf.dummyfunction("""COMPUTED_VALUE"""),1)</f>
        <v>1</v>
      </c>
      <c r="E206" s="0" t="n">
        <f aca="false">IFERROR(__xludf.dummyfunction("""COMPUTED_VALUE"""),20)</f>
        <v>20</v>
      </c>
      <c r="F206" s="0" t="str">
        <f aca="false">IFERROR(__xludf.dummyfunction("filter(Formulas!$C:$C,Formulas!$A:$A=B206)"),"""formula"":[{""sku"":""1201"",""req"":1},{""sku"":""1116"",""req"":1},{""sku"":""1106"",""req"":4},{""sku"":""1112"",""req"":1},{""sku"":""1114"",""req"":1},{""sku"":""1407"",""req"":1}]")</f>
        <v>"formula":[{"sku":"1201","req":1},{"sku":"1116","req":1},{"sku":"1106","req":4},{"sku":"1112","req":1},{"sku":"1114","req":1},{"sku":"1407","req":1}]</v>
      </c>
      <c r="G206" s="0" t="n">
        <f aca="false">IFERROR(__xludf.dummyfunction("""COMPUTED_VALUE"""),1)</f>
        <v>1</v>
      </c>
      <c r="H206" s="21" t="str">
        <f aca="false">IFERROR(__xludf.dummyfunction("IF(D206,filter(Productos!AC:AC,Productos!A:A=B206),)"),"cocina")</f>
        <v>cocina</v>
      </c>
      <c r="I206" s="24" t="n">
        <f aca="false">IFERROR(__xludf.dummyfunction("""COMPUTED_VALUE"""),5900)</f>
        <v>5900</v>
      </c>
      <c r="K206" s="0" t="str">
        <f aca="false">IF(D206,"{""sku"":"""&amp;B206&amp;""", ""costo"":"&amp;C206&amp;", ""grupo"":"""&amp;A206&amp;""", ""lote"":"&amp;D206&amp;", ""tiempo"":"&amp;E206&amp;", "&amp;F206&amp;", ""vencimiento"":"&amp;G206&amp;IF(I206,", ""precio"":"&amp;I206,)&amp;", ""tipo"":"""&amp;H206&amp;"""},",)</f>
        <v>{"sku":"10020", "costo":10, "grupo":"3", "lote":1, "tiempo":20, "formula":[{"sku":"1201","req":1},{"sku":"1116","req":1},{"sku":"1106","req":4},{"sku":"1112","req":1},{"sku":"1114","req":1},{"sku":"1407","req":1}], "vencimiento":1, "precio":5900, "tipo":"cocina"},</v>
      </c>
    </row>
    <row r="207" customFormat="false" ht="13" hidden="false" customHeight="false" outlineLevel="0" collapsed="false">
      <c r="A207" s="17" t="n">
        <v>3</v>
      </c>
      <c r="B207" s="0" t="n">
        <f aca="false">IFERROR(__xludf.dummyfunction("""COMPUTED_VALUE"""),10021)</f>
        <v>10021</v>
      </c>
      <c r="C207" s="24" t="n">
        <f aca="false">IFERROR(__xludf.dummyfunction("""COMPUTED_VALUE"""),10)</f>
        <v>10</v>
      </c>
      <c r="D207" s="0" t="n">
        <f aca="false">IFERROR(__xludf.dummyfunction("""COMPUTED_VALUE"""),1)</f>
        <v>1</v>
      </c>
      <c r="E207" s="0" t="n">
        <f aca="false">IFERROR(__xludf.dummyfunction("""COMPUTED_VALUE"""),10)</f>
        <v>10</v>
      </c>
      <c r="F207" s="0" t="str">
        <f aca="false">IFERROR(__xludf.dummyfunction("filter(Formulas!$C:$C,Formulas!$A:$A=B207)"),"""formula"":[{""sku"":""1201"",""req"":1},{""sku"":""1116"",""req"":1},{""sku"":""1109"",""req"":1},{""sku"":""1114"",""req"":1},{""sku"":""1407"",""req"":1}]")</f>
        <v>"formula":[{"sku":"1201","req":1},{"sku":"1116","req":1},{"sku":"1109","req":1},{"sku":"1114","req":1},{"sku":"1407","req":1}]</v>
      </c>
      <c r="G207" s="0" t="n">
        <f aca="false">IFERROR(__xludf.dummyfunction("""COMPUTED_VALUE"""),1)</f>
        <v>1</v>
      </c>
      <c r="H207" s="21" t="str">
        <f aca="false">IFERROR(__xludf.dummyfunction("IF(D207,filter(Productos!AC:AC,Productos!A:A=B207),)"),"cocina")</f>
        <v>cocina</v>
      </c>
      <c r="I207" s="24" t="n">
        <f aca="false">IFERROR(__xludf.dummyfunction("""COMPUTED_VALUE"""),5900)</f>
        <v>5900</v>
      </c>
      <c r="K207" s="0" t="str">
        <f aca="false">IF(D207,"{""sku"":"""&amp;B207&amp;""", ""costo"":"&amp;C207&amp;", ""grupo"":"""&amp;A207&amp;""", ""lote"":"&amp;D207&amp;", ""tiempo"":"&amp;E207&amp;", "&amp;F207&amp;", ""vencimiento"":"&amp;G207&amp;IF(I207,", ""precio"":"&amp;I207,)&amp;", ""tipo"":"""&amp;H207&amp;"""},",)</f>
        <v>{"sku":"10021", "costo":10, "grupo":"3", "lote":1, "tiempo":10, "formula":[{"sku":"1201","req":1},{"sku":"1116","req":1},{"sku":"1109","req":1},{"sku":"1114","req":1},{"sku":"1407","req":1}], "vencimiento":1, "precio":5900, "tipo":"cocina"},</v>
      </c>
    </row>
    <row r="208" customFormat="false" ht="13" hidden="false" customHeight="false" outlineLevel="0" collapsed="false">
      <c r="A208" s="16" t="n">
        <v>3</v>
      </c>
      <c r="B208" s="0" t="n">
        <f aca="false">IFERROR(__xludf.dummyfunction("""COMPUTED_VALUE"""),10022)</f>
        <v>10022</v>
      </c>
      <c r="C208" s="24" t="n">
        <f aca="false">IFERROR(__xludf.dummyfunction("""COMPUTED_VALUE"""),10)</f>
        <v>10</v>
      </c>
      <c r="D208" s="0" t="n">
        <f aca="false">IFERROR(__xludf.dummyfunction("""COMPUTED_VALUE"""),1)</f>
        <v>1</v>
      </c>
      <c r="E208" s="0" t="n">
        <f aca="false">IFERROR(__xludf.dummyfunction("""COMPUTED_VALUE"""),20)</f>
        <v>20</v>
      </c>
      <c r="F208" s="0" t="str">
        <f aca="false">IFERROR(__xludf.dummyfunction("filter(Formulas!$C:$C,Formulas!$A:$A=B208)"),"""formula"":[{""sku"":""1201"",""req"":1},{""sku"":""1116"",""req"":1},{""sku"":""1107"",""req"":1},{""sku"":""1112"",""req"":1},{""sku"":""1210"",""req"":1},{""sku"":""1215"",""req"":1}]")</f>
        <v>"formula":[{"sku":"1201","req":1},{"sku":"1116","req":1},{"sku":"1107","req":1},{"sku":"1112","req":1},{"sku":"1210","req":1},{"sku":"1215","req":1}]</v>
      </c>
      <c r="G208" s="0" t="n">
        <f aca="false">IFERROR(__xludf.dummyfunction("""COMPUTED_VALUE"""),1)</f>
        <v>1</v>
      </c>
      <c r="H208" s="21" t="str">
        <f aca="false">IFERROR(__xludf.dummyfunction("IF(D208,filter(Productos!AC:AC,Productos!A:A=B208),)"),"cocina")</f>
        <v>cocina</v>
      </c>
      <c r="I208" s="24" t="n">
        <f aca="false">IFERROR(__xludf.dummyfunction("""COMPUTED_VALUE"""),5500)</f>
        <v>5500</v>
      </c>
      <c r="K208" s="0" t="str">
        <f aca="false">IF(D208,"{""sku"":"""&amp;B208&amp;""", ""costo"":"&amp;C208&amp;", ""grupo"":"""&amp;A208&amp;""", ""lote"":"&amp;D208&amp;", ""tiempo"":"&amp;E208&amp;", "&amp;F208&amp;", ""vencimiento"":"&amp;G208&amp;IF(I208,", ""precio"":"&amp;I208,)&amp;", ""tipo"":"""&amp;H208&amp;"""},",)</f>
        <v>{"sku":"10022", "costo":10, "grupo":"3", "lote":1, "tiempo":20, "formula":[{"sku":"1201","req":1},{"sku":"1116","req":1},{"sku":"1107","req":1},{"sku":"1112","req":1},{"sku":"1210","req":1},{"sku":"1215","req":1}], "vencimiento":1, "precio":5500, "tipo":"cocina"},</v>
      </c>
    </row>
    <row r="209" customFormat="false" ht="13" hidden="false" customHeight="false" outlineLevel="0" collapsed="false">
      <c r="A209" s="17" t="n">
        <v>3</v>
      </c>
      <c r="B209" s="0" t="n">
        <f aca="false">IFERROR(__xludf.dummyfunction("""COMPUTED_VALUE"""),10023)</f>
        <v>10023</v>
      </c>
      <c r="C209" s="24" t="n">
        <f aca="false">IFERROR(__xludf.dummyfunction("""COMPUTED_VALUE"""),10)</f>
        <v>10</v>
      </c>
      <c r="D209" s="0" t="n">
        <f aca="false">IFERROR(__xludf.dummyfunction("""COMPUTED_VALUE"""),1)</f>
        <v>1</v>
      </c>
      <c r="E209" s="0" t="n">
        <f aca="false">IFERROR(__xludf.dummyfunction("""COMPUTED_VALUE"""),20)</f>
        <v>20</v>
      </c>
      <c r="F209" s="0" t="str">
        <f aca="false">IFERROR(__xludf.dummyfunction("filter(Formulas!$C:$C,Formulas!$A:$A=B209)"),"""formula"":[{""sku"":""1201"",""req"":1},{""sku"":""1116"",""req"":1},{""sku"":""1109"",""req"":1},{""sku"":""1112"",""req"":1},{""sku"":""1210"",""req"":1},{""sku"":""1215"",""req"":1}]")</f>
        <v>"formula":[{"sku":"1201","req":1},{"sku":"1116","req":1},{"sku":"1109","req":1},{"sku":"1112","req":1},{"sku":"1210","req":1},{"sku":"1215","req":1}]</v>
      </c>
      <c r="G209" s="0" t="n">
        <f aca="false">IFERROR(__xludf.dummyfunction("""COMPUTED_VALUE"""),1)</f>
        <v>1</v>
      </c>
      <c r="H209" s="21" t="str">
        <f aca="false">IFERROR(__xludf.dummyfunction("IF(D209,filter(Productos!AC:AC,Productos!A:A=B209),)"),"cocina")</f>
        <v>cocina</v>
      </c>
      <c r="I209" s="24" t="n">
        <f aca="false">IFERROR(__xludf.dummyfunction("""COMPUTED_VALUE"""),5500)</f>
        <v>5500</v>
      </c>
      <c r="K209" s="0" t="str">
        <f aca="false">IF(D209,"{""sku"":"""&amp;B209&amp;""", ""costo"":"&amp;C209&amp;", ""grupo"":"""&amp;A209&amp;""", ""lote"":"&amp;D209&amp;", ""tiempo"":"&amp;E209&amp;", "&amp;F209&amp;", ""vencimiento"":"&amp;G209&amp;IF(I209,", ""precio"":"&amp;I209,)&amp;", ""tipo"":"""&amp;H209&amp;"""},",)</f>
        <v>{"sku":"10023", "costo":10, "grupo":"3", "lote":1, "tiempo":20, "formula":[{"sku":"1201","req":1},{"sku":"1116","req":1},{"sku":"1109","req":1},{"sku":"1112","req":1},{"sku":"1210","req":1},{"sku":"1215","req":1}], "vencimiento":1, "precio":5500, "tipo":"cocina"},</v>
      </c>
    </row>
    <row r="210" customFormat="false" ht="13" hidden="false" customHeight="false" outlineLevel="0" collapsed="false">
      <c r="A210" s="16" t="n">
        <v>3</v>
      </c>
      <c r="B210" s="0" t="n">
        <f aca="false">IFERROR(__xludf.dummyfunction("""COMPUTED_VALUE"""),10024)</f>
        <v>10024</v>
      </c>
      <c r="C210" s="24" t="n">
        <f aca="false">IFERROR(__xludf.dummyfunction("""COMPUTED_VALUE"""),10)</f>
        <v>10</v>
      </c>
      <c r="D210" s="0" t="n">
        <f aca="false">IFERROR(__xludf.dummyfunction("""COMPUTED_VALUE"""),1)</f>
        <v>1</v>
      </c>
      <c r="E210" s="0" t="n">
        <f aca="false">IFERROR(__xludf.dummyfunction("""COMPUTED_VALUE"""),20)</f>
        <v>20</v>
      </c>
      <c r="F210" s="0" t="str">
        <f aca="false">IFERROR(__xludf.dummyfunction("filter(Formulas!$C:$C,Formulas!$A:$A=B210)"),"""formula"":[{""sku"":""1201"",""req"":1},{""sku"":""1116"",""req"":1},{""sku"":""1210"",""req"":1},{""sku"":""1114"",""req"":1},{""sku"":""1115"",""req"":1},{""sku"":""1211"",""req"":1}]")</f>
        <v>"formula":[{"sku":"1201","req":1},{"sku":"1116","req":1},{"sku":"1210","req":1},{"sku":"1114","req":1},{"sku":"1115","req":1},{"sku":"1211","req":1}]</v>
      </c>
      <c r="G210" s="0" t="n">
        <f aca="false">IFERROR(__xludf.dummyfunction("""COMPUTED_VALUE"""),1)</f>
        <v>1</v>
      </c>
      <c r="H210" s="21" t="str">
        <f aca="false">IFERROR(__xludf.dummyfunction("IF(D210,filter(Productos!AC:AC,Productos!A:A=B210),)"),"cocina")</f>
        <v>cocina</v>
      </c>
      <c r="I210" s="24" t="n">
        <f aca="false">IFERROR(__xludf.dummyfunction("""COMPUTED_VALUE"""),4900)</f>
        <v>4900</v>
      </c>
      <c r="K210" s="0" t="str">
        <f aca="false">IF(D210,"{""sku"":"""&amp;B210&amp;""", ""costo"":"&amp;C210&amp;", ""grupo"":"""&amp;A210&amp;""", ""lote"":"&amp;D210&amp;", ""tiempo"":"&amp;E210&amp;", "&amp;F210&amp;", ""vencimiento"":"&amp;G210&amp;IF(I210,", ""precio"":"&amp;I210,)&amp;", ""tipo"":"""&amp;H210&amp;"""},",)</f>
        <v>{"sku":"10024", "costo":10, "grupo":"3", "lote":1, "tiempo":20, "formula":[{"sku":"1201","req":1},{"sku":"1116","req":1},{"sku":"1210","req":1},{"sku":"1114","req":1},{"sku":"1115","req":1},{"sku":"1211","req":1}], "vencimiento":1, "precio":4900, "tipo":"cocina"},</v>
      </c>
    </row>
    <row r="211" customFormat="false" ht="13" hidden="false" customHeight="false" outlineLevel="0" collapsed="false">
      <c r="A211" s="17" t="n">
        <v>3</v>
      </c>
      <c r="B211" s="0" t="n">
        <f aca="false">IFERROR(__xludf.dummyfunction("""COMPUTED_VALUE"""),10025)</f>
        <v>10025</v>
      </c>
      <c r="C211" s="24" t="n">
        <f aca="false">IFERROR(__xludf.dummyfunction("""COMPUTED_VALUE"""),10)</f>
        <v>10</v>
      </c>
      <c r="D211" s="0" t="n">
        <f aca="false">IFERROR(__xludf.dummyfunction("""COMPUTED_VALUE"""),1)</f>
        <v>1</v>
      </c>
      <c r="E211" s="0" t="n">
        <f aca="false">IFERROR(__xludf.dummyfunction("""COMPUTED_VALUE"""),20)</f>
        <v>20</v>
      </c>
      <c r="F211" s="0" t="str">
        <f aca="false">IFERROR(__xludf.dummyfunction("filter(Formulas!$C:$C,Formulas!$A:$A=B211)"),"""formula"":[{""sku"":""1201"",""req"":1},{""sku"":""1116"",""req"":1},{""sku"":""1210"",""req"":1},{""sku"":""1114"",""req"":1},{""sku"":""1115"",""req"":1},{""sku"":""1013"",""req"":5}]")</f>
        <v>"formula":[{"sku":"1201","req":1},{"sku":"1116","req":1},{"sku":"1210","req":1},{"sku":"1114","req":1},{"sku":"1115","req":1},{"sku":"1013","req":5}]</v>
      </c>
      <c r="G211" s="0" t="n">
        <f aca="false">IFERROR(__xludf.dummyfunction("""COMPUTED_VALUE"""),1)</f>
        <v>1</v>
      </c>
      <c r="H211" s="21" t="str">
        <f aca="false">IFERROR(__xludf.dummyfunction("IF(D211,filter(Productos!AC:AC,Productos!A:A=B211),)"),"cocina")</f>
        <v>cocina</v>
      </c>
      <c r="I211" s="24" t="n">
        <f aca="false">IFERROR(__xludf.dummyfunction("""COMPUTED_VALUE"""),4900)</f>
        <v>4900</v>
      </c>
      <c r="K211" s="0" t="str">
        <f aca="false">IF(D211,"{""sku"":"""&amp;B211&amp;""", ""costo"":"&amp;C211&amp;", ""grupo"":"""&amp;A211&amp;""", ""lote"":"&amp;D211&amp;", ""tiempo"":"&amp;E211&amp;", "&amp;F211&amp;", ""vencimiento"":"&amp;G211&amp;IF(I211,", ""precio"":"&amp;I211,)&amp;", ""tipo"":"""&amp;H211&amp;"""},",)</f>
        <v>{"sku":"10025", "costo":10, "grupo":"3", "lote":1, "tiempo":20, "formula":[{"sku":"1201","req":1},{"sku":"1116","req":1},{"sku":"1210","req":1},{"sku":"1114","req":1},{"sku":"1115","req":1},{"sku":"1013","req":5}], "vencimiento":1, "precio":4900, "tipo":"cocina"},</v>
      </c>
    </row>
    <row r="212" customFormat="false" ht="13" hidden="false" customHeight="false" outlineLevel="0" collapsed="false">
      <c r="A212" s="16" t="n">
        <v>3</v>
      </c>
      <c r="B212" s="0" t="n">
        <f aca="false">IFERROR(__xludf.dummyfunction("""COMPUTED_VALUE"""),20001)</f>
        <v>20001</v>
      </c>
      <c r="C212" s="24" t="n">
        <f aca="false">IFERROR(__xludf.dummyfunction("""COMPUTED_VALUE"""),10)</f>
        <v>10</v>
      </c>
      <c r="D212" s="0" t="n">
        <f aca="false">IFERROR(__xludf.dummyfunction("""COMPUTED_VALUE"""),1)</f>
        <v>1</v>
      </c>
      <c r="E212" s="0" t="n">
        <f aca="false">IFERROR(__xludf.dummyfunction("""COMPUTED_VALUE"""),10)</f>
        <v>10</v>
      </c>
      <c r="F212" s="0" t="str">
        <f aca="false">IFERROR(__xludf.dummyfunction("filter(Formulas!$C:$C,Formulas!$A:$A=B212)"),"""formula"":[{""sku"":""1301"",""req"":1},{""sku"":""1207"",""req"":1},{""sku"":""1310"",""req"":1},{""sku"":""1112"",""req"":1},{""sku"":""1216"",""req"":1}]")</f>
        <v>"formula":[{"sku":"1301","req":1},{"sku":"1207","req":1},{"sku":"1310","req":1},{"sku":"1112","req":1},{"sku":"1216","req":1}]</v>
      </c>
      <c r="G212" s="0" t="n">
        <f aca="false">IFERROR(__xludf.dummyfunction("""COMPUTED_VALUE"""),1)</f>
        <v>1</v>
      </c>
      <c r="H212" s="21" t="str">
        <f aca="false">IFERROR(__xludf.dummyfunction("IF(D212,filter(Productos!AC:AC,Productos!A:A=B212),)"),"cocina")</f>
        <v>cocina</v>
      </c>
      <c r="I212" s="24" t="n">
        <f aca="false">IFERROR(__xludf.dummyfunction("""COMPUTED_VALUE"""),2700)</f>
        <v>2700</v>
      </c>
      <c r="K212" s="0" t="str">
        <f aca="false">IF(D212,"{""sku"":"""&amp;B212&amp;""", ""costo"":"&amp;C212&amp;", ""grupo"":"""&amp;A212&amp;""", ""lote"":"&amp;D212&amp;", ""tiempo"":"&amp;E212&amp;", "&amp;F212&amp;", ""vencimiento"":"&amp;G212&amp;IF(I212,", ""precio"":"&amp;I212,)&amp;", ""tipo"":"""&amp;H212&amp;"""},",)</f>
        <v>{"sku":"20001", "costo":10, "grupo":"3", "lote":1, "tiempo":10, "formula":[{"sku":"1301","req":1},{"sku":"1207","req":1},{"sku":"1310","req":1},{"sku":"1112","req":1},{"sku":"1216","req":1}], "vencimiento":1, "precio":2700, "tipo":"cocina"},</v>
      </c>
    </row>
    <row r="213" customFormat="false" ht="13" hidden="false" customHeight="false" outlineLevel="0" collapsed="false">
      <c r="A213" s="17" t="n">
        <v>3</v>
      </c>
      <c r="B213" s="0" t="n">
        <f aca="false">IFERROR(__xludf.dummyfunction("""COMPUTED_VALUE"""),20002)</f>
        <v>20002</v>
      </c>
      <c r="C213" s="24" t="n">
        <f aca="false">IFERROR(__xludf.dummyfunction("""COMPUTED_VALUE"""),10)</f>
        <v>10</v>
      </c>
      <c r="D213" s="0" t="n">
        <f aca="false">IFERROR(__xludf.dummyfunction("""COMPUTED_VALUE"""),1)</f>
        <v>1</v>
      </c>
      <c r="E213" s="0" t="n">
        <f aca="false">IFERROR(__xludf.dummyfunction("""COMPUTED_VALUE"""),10)</f>
        <v>10</v>
      </c>
      <c r="F213" s="0" t="str">
        <f aca="false">IFERROR(__xludf.dummyfunction("filter(Formulas!$C:$C,Formulas!$A:$A=B213)"),"""formula"":[{""sku"":""1301"",""req"":1},{""sku"":""1216"",""req"":1},{""sku"":""1106"",""req"":4}]")</f>
        <v>"formula":[{"sku":"1301","req":1},{"sku":"1216","req":1},{"sku":"1106","req":4}]</v>
      </c>
      <c r="G213" s="0" t="n">
        <f aca="false">IFERROR(__xludf.dummyfunction("""COMPUTED_VALUE"""),1)</f>
        <v>1</v>
      </c>
      <c r="H213" s="21" t="str">
        <f aca="false">IFERROR(__xludf.dummyfunction("IF(D213,filter(Productos!AC:AC,Productos!A:A=B213),)"),"cocina")</f>
        <v>cocina</v>
      </c>
      <c r="I213" s="24" t="n">
        <f aca="false">IFERROR(__xludf.dummyfunction("""COMPUTED_VALUE"""),2700)</f>
        <v>2700</v>
      </c>
      <c r="K213" s="0" t="str">
        <f aca="false">IF(D213,"{""sku"":"""&amp;B213&amp;""", ""costo"":"&amp;C213&amp;", ""grupo"":"""&amp;A213&amp;""", ""lote"":"&amp;D213&amp;", ""tiempo"":"&amp;E213&amp;", "&amp;F213&amp;", ""vencimiento"":"&amp;G213&amp;IF(I213,", ""precio"":"&amp;I213,)&amp;", ""tipo"":"""&amp;H213&amp;"""},",)</f>
        <v>{"sku":"20002", "costo":10, "grupo":"3", "lote":1, "tiempo":10, "formula":[{"sku":"1301","req":1},{"sku":"1216","req":1},{"sku":"1106","req":4}], "vencimiento":1, "precio":2700, "tipo":"cocina"},</v>
      </c>
    </row>
    <row r="214" customFormat="false" ht="13" hidden="false" customHeight="false" outlineLevel="0" collapsed="false">
      <c r="A214" s="16" t="n">
        <v>3</v>
      </c>
      <c r="B214" s="0" t="n">
        <f aca="false">IFERROR(__xludf.dummyfunction("""COMPUTED_VALUE"""),20003)</f>
        <v>20003</v>
      </c>
      <c r="C214" s="24" t="n">
        <f aca="false">IFERROR(__xludf.dummyfunction("""COMPUTED_VALUE"""),10)</f>
        <v>10</v>
      </c>
      <c r="D214" s="0" t="n">
        <f aca="false">IFERROR(__xludf.dummyfunction("""COMPUTED_VALUE"""),1)</f>
        <v>1</v>
      </c>
      <c r="E214" s="0" t="n">
        <f aca="false">IFERROR(__xludf.dummyfunction("""COMPUTED_VALUE"""),10)</f>
        <v>10</v>
      </c>
      <c r="F214" s="0" t="str">
        <f aca="false">IFERROR(__xludf.dummyfunction("filter(Formulas!$C:$C,Formulas!$A:$A=B214)"),"""formula"":[{""sku"":""1301"",""req"":1},{""sku"":""1216"",""req"":1},{""sku"":""1207"",""req"":1}]")</f>
        <v>"formula":[{"sku":"1301","req":1},{"sku":"1216","req":1},{"sku":"1207","req":1}]</v>
      </c>
      <c r="G214" s="0" t="n">
        <f aca="false">IFERROR(__xludf.dummyfunction("""COMPUTED_VALUE"""),1)</f>
        <v>1</v>
      </c>
      <c r="H214" s="21" t="str">
        <f aca="false">IFERROR(__xludf.dummyfunction("IF(D214,filter(Productos!AC:AC,Productos!A:A=B214),)"),"cocina")</f>
        <v>cocina</v>
      </c>
      <c r="I214" s="24" t="n">
        <f aca="false">IFERROR(__xludf.dummyfunction("""COMPUTED_VALUE"""),2700)</f>
        <v>2700</v>
      </c>
      <c r="K214" s="0" t="str">
        <f aca="false">IF(D214,"{""sku"":"""&amp;B214&amp;""", ""costo"":"&amp;C214&amp;", ""grupo"":"""&amp;A214&amp;""", ""lote"":"&amp;D214&amp;", ""tiempo"":"&amp;E214&amp;", "&amp;F214&amp;", ""vencimiento"":"&amp;G214&amp;IF(I214,", ""precio"":"&amp;I214,)&amp;", ""tipo"":"""&amp;H214&amp;"""},",)</f>
        <v>{"sku":"20003", "costo":10, "grupo":"3", "lote":1, "tiempo":10, "formula":[{"sku":"1301","req":1},{"sku":"1216","req":1},{"sku":"1207","req":1}], "vencimiento":1, "precio":2700, "tipo":"cocina"},</v>
      </c>
    </row>
    <row r="215" customFormat="false" ht="13" hidden="false" customHeight="false" outlineLevel="0" collapsed="false">
      <c r="A215" s="17" t="n">
        <v>3</v>
      </c>
      <c r="B215" s="0" t="n">
        <f aca="false">IFERROR(__xludf.dummyfunction("""COMPUTED_VALUE"""),20004)</f>
        <v>20004</v>
      </c>
      <c r="C215" s="24" t="n">
        <f aca="false">IFERROR(__xludf.dummyfunction("""COMPUTED_VALUE"""),10)</f>
        <v>10</v>
      </c>
      <c r="D215" s="0" t="n">
        <f aca="false">IFERROR(__xludf.dummyfunction("""COMPUTED_VALUE"""),1)</f>
        <v>1</v>
      </c>
      <c r="E215" s="0" t="n">
        <f aca="false">IFERROR(__xludf.dummyfunction("""COMPUTED_VALUE"""),10)</f>
        <v>10</v>
      </c>
      <c r="F215" s="0" t="str">
        <f aca="false">IFERROR(__xludf.dummyfunction("filter(Formulas!$C:$C,Formulas!$A:$A=B215)"),"""formula"":[{""sku"":""1301"",""req"":1},{""sku"":""1216"",""req"":1},{""sku"":""1209"",""req"":1}]")</f>
        <v>"formula":[{"sku":"1301","req":1},{"sku":"1216","req":1},{"sku":"1209","req":1}]</v>
      </c>
      <c r="G215" s="0" t="n">
        <f aca="false">IFERROR(__xludf.dummyfunction("""COMPUTED_VALUE"""),1)</f>
        <v>1</v>
      </c>
      <c r="H215" s="21" t="str">
        <f aca="false">IFERROR(__xludf.dummyfunction("IF(D215,filter(Productos!AC:AC,Productos!A:A=B215),)"),"cocina")</f>
        <v>cocina</v>
      </c>
      <c r="I215" s="24" t="n">
        <f aca="false">IFERROR(__xludf.dummyfunction("""COMPUTED_VALUE"""),2700)</f>
        <v>2700</v>
      </c>
      <c r="K215" s="0" t="str">
        <f aca="false">IF(D215,"{""sku"":"""&amp;B215&amp;""", ""costo"":"&amp;C215&amp;", ""grupo"":"""&amp;A215&amp;""", ""lote"":"&amp;D215&amp;", ""tiempo"":"&amp;E215&amp;", "&amp;F215&amp;", ""vencimiento"":"&amp;G215&amp;IF(I215,", ""precio"":"&amp;I215,)&amp;", ""tipo"":"""&amp;H215&amp;"""},",)</f>
        <v>{"sku":"20004", "costo":10, "grupo":"3", "lote":1, "tiempo":10, "formula":[{"sku":"1301","req":1},{"sku":"1216","req":1},{"sku":"1209","req":1}], "vencimiento":1, "precio":2700, "tipo":"cocina"},</v>
      </c>
    </row>
    <row r="216" customFormat="false" ht="13" hidden="false" customHeight="false" outlineLevel="0" collapsed="false">
      <c r="A216" s="16" t="n">
        <v>3</v>
      </c>
      <c r="B216" s="0" t="n">
        <f aca="false">IFERROR(__xludf.dummyfunction("""COMPUTED_VALUE"""),20005)</f>
        <v>20005</v>
      </c>
      <c r="C216" s="24" t="n">
        <f aca="false">IFERROR(__xludf.dummyfunction("""COMPUTED_VALUE"""),10)</f>
        <v>10</v>
      </c>
      <c r="D216" s="0" t="n">
        <f aca="false">IFERROR(__xludf.dummyfunction("""COMPUTED_VALUE"""),1)</f>
        <v>1</v>
      </c>
      <c r="E216" s="0" t="n">
        <f aca="false">IFERROR(__xludf.dummyfunction("""COMPUTED_VALUE"""),20)</f>
        <v>20</v>
      </c>
      <c r="F216" s="0" t="str">
        <f aca="false">IFERROR(__xludf.dummyfunction("filter(Formulas!$C:$C,Formulas!$A:$A=B216)"),"""formula"":[{""sku"":""1301"",""req"":1},{""sku"":""1216"",""req"":1},{""sku"":""1209"",""req"":1},{""sku"":""1310"",""req"":1},{""sku"":""1112"",""req"":1}]")</f>
        <v>"formula":[{"sku":"1301","req":1},{"sku":"1216","req":1},{"sku":"1209","req":1},{"sku":"1310","req":1},{"sku":"1112","req":1}]</v>
      </c>
      <c r="G216" s="0" t="n">
        <f aca="false">IFERROR(__xludf.dummyfunction("""COMPUTED_VALUE"""),1)</f>
        <v>1</v>
      </c>
      <c r="H216" s="21" t="str">
        <f aca="false">IFERROR(__xludf.dummyfunction("IF(D216,filter(Productos!AC:AC,Productos!A:A=B216),)"),"cocina")</f>
        <v>cocina</v>
      </c>
      <c r="I216" s="24" t="n">
        <f aca="false">IFERROR(__xludf.dummyfunction("""COMPUTED_VALUE"""),2700)</f>
        <v>2700</v>
      </c>
      <c r="K216" s="0" t="str">
        <f aca="false">IF(D216,"{""sku"":"""&amp;B216&amp;""", ""costo"":"&amp;C216&amp;", ""grupo"":"""&amp;A216&amp;""", ""lote"":"&amp;D216&amp;", ""tiempo"":"&amp;E216&amp;", "&amp;F216&amp;", ""vencimiento"":"&amp;G216&amp;IF(I216,", ""precio"":"&amp;I216,)&amp;", ""tipo"":"""&amp;H216&amp;"""},",)</f>
        <v>{"sku":"20005", "costo":10, "grupo":"3", "lote":1, "tiempo":20, "formula":[{"sku":"1301","req":1},{"sku":"1216","req":1},{"sku":"1209","req":1},{"sku":"1310","req":1},{"sku":"1112","req":1}], "vencimiento":1, "precio":2700, "tipo":"cocina"},</v>
      </c>
    </row>
    <row r="217" customFormat="false" ht="13" hidden="false" customHeight="false" outlineLevel="0" collapsed="false">
      <c r="A217" s="17" t="n">
        <v>3</v>
      </c>
      <c r="B217" s="0" t="n">
        <f aca="false">IFERROR(__xludf.dummyfunction("""COMPUTED_VALUE"""),30001)</f>
        <v>30001</v>
      </c>
      <c r="C217" s="24" t="n">
        <f aca="false">IFERROR(__xludf.dummyfunction("""COMPUTED_VALUE"""),10)</f>
        <v>10</v>
      </c>
      <c r="D217" s="0" t="n">
        <f aca="false">IFERROR(__xludf.dummyfunction("""COMPUTED_VALUE"""),1)</f>
        <v>1</v>
      </c>
      <c r="E217" s="0" t="n">
        <f aca="false">IFERROR(__xludf.dummyfunction("""COMPUTED_VALUE"""),10)</f>
        <v>10</v>
      </c>
      <c r="F217" s="0" t="str">
        <f aca="false">IFERROR(__xludf.dummyfunction("filter(Formulas!$C:$C,Formulas!$A:$A=B217)"),"""formula"":[{""sku"":""1307"",""req"":3}]")</f>
        <v>"formula":[{"sku":"1307","req":3}]</v>
      </c>
      <c r="G217" s="0" t="n">
        <f aca="false">IFERROR(__xludf.dummyfunction("""COMPUTED_VALUE"""),1)</f>
        <v>1</v>
      </c>
      <c r="H217" s="21" t="str">
        <f aca="false">IFERROR(__xludf.dummyfunction("IF(D217,filter(Productos!AC:AC,Productos!A:A=B217),)"),"cocina")</f>
        <v>cocina</v>
      </c>
      <c r="I217" s="24" t="n">
        <f aca="false">IFERROR(__xludf.dummyfunction("""COMPUTED_VALUE"""),7900)</f>
        <v>7900</v>
      </c>
      <c r="K217" s="0" t="str">
        <f aca="false">IF(D217,"{""sku"":"""&amp;B217&amp;""", ""costo"":"&amp;C217&amp;", ""grupo"":"""&amp;A217&amp;""", ""lote"":"&amp;D217&amp;", ""tiempo"":"&amp;E217&amp;", "&amp;F217&amp;", ""vencimiento"":"&amp;G217&amp;IF(I217,", ""precio"":"&amp;I217,)&amp;", ""tipo"":"""&amp;H217&amp;"""},",)</f>
        <v>{"sku":"30001", "costo":10, "grupo":"3", "lote":1, "tiempo":10, "formula":[{"sku":"1307","req":3}], "vencimiento":1, "precio":7900, "tipo":"cocina"},</v>
      </c>
    </row>
    <row r="218" customFormat="false" ht="13" hidden="false" customHeight="false" outlineLevel="0" collapsed="false">
      <c r="A218" s="16" t="n">
        <v>3</v>
      </c>
      <c r="B218" s="0" t="n">
        <f aca="false">IFERROR(__xludf.dummyfunction("""COMPUTED_VALUE"""),30002)</f>
        <v>30002</v>
      </c>
      <c r="C218" s="24" t="n">
        <f aca="false">IFERROR(__xludf.dummyfunction("""COMPUTED_VALUE"""),10)</f>
        <v>10</v>
      </c>
      <c r="D218" s="0" t="n">
        <f aca="false">IFERROR(__xludf.dummyfunction("""COMPUTED_VALUE"""),1)</f>
        <v>1</v>
      </c>
      <c r="E218" s="0" t="n">
        <f aca="false">IFERROR(__xludf.dummyfunction("""COMPUTED_VALUE"""),10)</f>
        <v>10</v>
      </c>
      <c r="F218" s="0" t="str">
        <f aca="false">IFERROR(__xludf.dummyfunction("filter(Formulas!$C:$C,Formulas!$A:$A=B218)"),"""formula"":[{""sku"":""1307"",""req"":4}]")</f>
        <v>"formula":[{"sku":"1307","req":4}]</v>
      </c>
      <c r="G218" s="0" t="n">
        <f aca="false">IFERROR(__xludf.dummyfunction("""COMPUTED_VALUE"""),1)</f>
        <v>1</v>
      </c>
      <c r="H218" s="21" t="str">
        <f aca="false">IFERROR(__xludf.dummyfunction("IF(D218,filter(Productos!AC:AC,Productos!A:A=B218),)"),"cocina")</f>
        <v>cocina</v>
      </c>
      <c r="I218" s="24" t="n">
        <f aca="false">IFERROR(__xludf.dummyfunction("""COMPUTED_VALUE"""),9900)</f>
        <v>9900</v>
      </c>
      <c r="K218" s="0" t="str">
        <f aca="false">IF(D218,"{""sku"":"""&amp;B218&amp;""", ""costo"":"&amp;C218&amp;", ""grupo"":"""&amp;A218&amp;""", ""lote"":"&amp;D218&amp;", ""tiempo"":"&amp;E218&amp;", "&amp;F218&amp;", ""vencimiento"":"&amp;G218&amp;IF(I218,", ""precio"":"&amp;I218,)&amp;", ""tipo"":"""&amp;H218&amp;"""},",)</f>
        <v>{"sku":"30002", "costo":10, "grupo":"3", "lote":1, "tiempo":10, "formula":[{"sku":"1307","req":4}], "vencimiento":1, "precio":9900, "tipo":"cocina"},</v>
      </c>
    </row>
    <row r="219" customFormat="false" ht="13" hidden="false" customHeight="false" outlineLevel="0" collapsed="false">
      <c r="A219" s="17" t="n">
        <v>3</v>
      </c>
      <c r="B219" s="0" t="n">
        <f aca="false">IFERROR(__xludf.dummyfunction("""COMPUTED_VALUE"""),30003)</f>
        <v>30003</v>
      </c>
      <c r="C219" s="24" t="n">
        <f aca="false">IFERROR(__xludf.dummyfunction("""COMPUTED_VALUE"""),10)</f>
        <v>10</v>
      </c>
      <c r="D219" s="0" t="n">
        <f aca="false">IFERROR(__xludf.dummyfunction("""COMPUTED_VALUE"""),1)</f>
        <v>1</v>
      </c>
      <c r="E219" s="0" t="n">
        <f aca="false">IFERROR(__xludf.dummyfunction("""COMPUTED_VALUE"""),10)</f>
        <v>10</v>
      </c>
      <c r="F219" s="0" t="str">
        <f aca="false">IFERROR(__xludf.dummyfunction("filter(Formulas!$C:$C,Formulas!$A:$A=B219)"),"""formula"":[{""sku"":""1307"",""req"":5}]")</f>
        <v>"formula":[{"sku":"1307","req":5}]</v>
      </c>
      <c r="G219" s="0" t="n">
        <f aca="false">IFERROR(__xludf.dummyfunction("""COMPUTED_VALUE"""),1)</f>
        <v>1</v>
      </c>
      <c r="H219" s="21" t="str">
        <f aca="false">IFERROR(__xludf.dummyfunction("IF(D219,filter(Productos!AC:AC,Productos!A:A=B219),)"),"cocina")</f>
        <v>cocina</v>
      </c>
      <c r="I219" s="24" t="n">
        <f aca="false">IFERROR(__xludf.dummyfunction("""COMPUTED_VALUE"""),12500)</f>
        <v>12500</v>
      </c>
      <c r="K219" s="0" t="str">
        <f aca="false">IF(D219,"{""sku"":"""&amp;B219&amp;""", ""costo"":"&amp;C219&amp;", ""grupo"":"""&amp;A219&amp;""", ""lote"":"&amp;D219&amp;", ""tiempo"":"&amp;E219&amp;", "&amp;F219&amp;", ""vencimiento"":"&amp;G219&amp;IF(I219,", ""precio"":"&amp;I219,)&amp;", ""tipo"":"""&amp;H219&amp;"""},",)</f>
        <v>{"sku":"30003", "costo":10, "grupo":"3", "lote":1, "tiempo":10, "formula":[{"sku":"1307","req":5}], "vencimiento":1, "precio":12500, "tipo":"cocina"},</v>
      </c>
    </row>
    <row r="220" customFormat="false" ht="13" hidden="false" customHeight="false" outlineLevel="0" collapsed="false">
      <c r="A220" s="16" t="n">
        <v>3</v>
      </c>
      <c r="B220" s="0" t="n">
        <f aca="false">IFERROR(__xludf.dummyfunction("""COMPUTED_VALUE"""),30004)</f>
        <v>30004</v>
      </c>
      <c r="C220" s="24" t="n">
        <f aca="false">IFERROR(__xludf.dummyfunction("""COMPUTED_VALUE"""),10)</f>
        <v>10</v>
      </c>
      <c r="D220" s="0" t="n">
        <f aca="false">IFERROR(__xludf.dummyfunction("""COMPUTED_VALUE"""),1)</f>
        <v>1</v>
      </c>
      <c r="E220" s="0" t="n">
        <f aca="false">IFERROR(__xludf.dummyfunction("""COMPUTED_VALUE"""),10)</f>
        <v>10</v>
      </c>
      <c r="F220" s="0" t="str">
        <f aca="false">IFERROR(__xludf.dummyfunction("filter(Formulas!$C:$C,Formulas!$A:$A=B220)"),"""formula"":[{""sku"":""1309"",""req"":3}]")</f>
        <v>"formula":[{"sku":"1309","req":3}]</v>
      </c>
      <c r="G220" s="0" t="n">
        <f aca="false">IFERROR(__xludf.dummyfunction("""COMPUTED_VALUE"""),1)</f>
        <v>1</v>
      </c>
      <c r="H220" s="21" t="str">
        <f aca="false">IFERROR(__xludf.dummyfunction("IF(D220,filter(Productos!AC:AC,Productos!A:A=B220),)"),"cocina")</f>
        <v>cocina</v>
      </c>
      <c r="I220" s="24" t="n">
        <f aca="false">IFERROR(__xludf.dummyfunction("""COMPUTED_VALUE"""),7900)</f>
        <v>7900</v>
      </c>
      <c r="K220" s="0" t="str">
        <f aca="false">IF(D220,"{""sku"":"""&amp;B220&amp;""", ""costo"":"&amp;C220&amp;", ""grupo"":"""&amp;A220&amp;""", ""lote"":"&amp;D220&amp;", ""tiempo"":"&amp;E220&amp;", "&amp;F220&amp;", ""vencimiento"":"&amp;G220&amp;IF(I220,", ""precio"":"&amp;I220,)&amp;", ""tipo"":"""&amp;H220&amp;"""},",)</f>
        <v>{"sku":"30004", "costo":10, "grupo":"3", "lote":1, "tiempo":10, "formula":[{"sku":"1309","req":3}], "vencimiento":1, "precio":7900, "tipo":"cocina"},</v>
      </c>
    </row>
    <row r="221" customFormat="false" ht="13" hidden="false" customHeight="false" outlineLevel="0" collapsed="false">
      <c r="A221" s="17" t="n">
        <v>3</v>
      </c>
      <c r="B221" s="0" t="n">
        <f aca="false">IFERROR(__xludf.dummyfunction("""COMPUTED_VALUE"""),30005)</f>
        <v>30005</v>
      </c>
      <c r="C221" s="24" t="n">
        <f aca="false">IFERROR(__xludf.dummyfunction("""COMPUTED_VALUE"""),10)</f>
        <v>10</v>
      </c>
      <c r="D221" s="0" t="n">
        <f aca="false">IFERROR(__xludf.dummyfunction("""COMPUTED_VALUE"""),1)</f>
        <v>1</v>
      </c>
      <c r="E221" s="0" t="n">
        <f aca="false">IFERROR(__xludf.dummyfunction("""COMPUTED_VALUE"""),10)</f>
        <v>10</v>
      </c>
      <c r="F221" s="0" t="str">
        <f aca="false">IFERROR(__xludf.dummyfunction("filter(Formulas!$C:$C,Formulas!$A:$A=B221)"),"""formula"":[{""sku"":""1309"",""req"":4}]")</f>
        <v>"formula":[{"sku":"1309","req":4}]</v>
      </c>
      <c r="G221" s="0" t="n">
        <f aca="false">IFERROR(__xludf.dummyfunction("""COMPUTED_VALUE"""),1)</f>
        <v>1</v>
      </c>
      <c r="H221" s="21" t="str">
        <f aca="false">IFERROR(__xludf.dummyfunction("IF(D221,filter(Productos!AC:AC,Productos!A:A=B221),)"),"cocina")</f>
        <v>cocina</v>
      </c>
      <c r="I221" s="24" t="n">
        <f aca="false">IFERROR(__xludf.dummyfunction("""COMPUTED_VALUE"""),9900)</f>
        <v>9900</v>
      </c>
      <c r="K221" s="0" t="str">
        <f aca="false">IF(D221,"{""sku"":"""&amp;B221&amp;""", ""costo"":"&amp;C221&amp;", ""grupo"":"""&amp;A221&amp;""", ""lote"":"&amp;D221&amp;", ""tiempo"":"&amp;E221&amp;", "&amp;F221&amp;", ""vencimiento"":"&amp;G221&amp;IF(I221,", ""precio"":"&amp;I221,)&amp;", ""tipo"":"""&amp;H221&amp;"""},",)</f>
        <v>{"sku":"30005", "costo":10, "grupo":"3", "lote":1, "tiempo":10, "formula":[{"sku":"1309","req":4}], "vencimiento":1, "precio":9900, "tipo":"cocina"},</v>
      </c>
    </row>
    <row r="222" customFormat="false" ht="13" hidden="false" customHeight="false" outlineLevel="0" collapsed="false">
      <c r="A222" s="17" t="n">
        <v>3</v>
      </c>
      <c r="B222" s="0" t="n">
        <f aca="false">IFERROR(__xludf.dummyfunction("""COMPUTED_VALUE"""),30006)</f>
        <v>30006</v>
      </c>
      <c r="C222" s="24" t="n">
        <f aca="false">IFERROR(__xludf.dummyfunction("""COMPUTED_VALUE"""),10)</f>
        <v>10</v>
      </c>
      <c r="D222" s="0" t="n">
        <f aca="false">IFERROR(__xludf.dummyfunction("""COMPUTED_VALUE"""),1)</f>
        <v>1</v>
      </c>
      <c r="E222" s="0" t="n">
        <f aca="false">IFERROR(__xludf.dummyfunction("""COMPUTED_VALUE"""),10)</f>
        <v>10</v>
      </c>
      <c r="F222" s="0" t="str">
        <f aca="false">IFERROR(__xludf.dummyfunction("filter(Formulas!$C:$C,Formulas!$A:$A=B222)"),"""formula"":[{""sku"":""1309"",""req"":5}]")</f>
        <v>"formula":[{"sku":"1309","req":5}]</v>
      </c>
      <c r="G222" s="0" t="n">
        <f aca="false">IFERROR(__xludf.dummyfunction("""COMPUTED_VALUE"""),1)</f>
        <v>1</v>
      </c>
      <c r="H222" s="21" t="str">
        <f aca="false">IFERROR(__xludf.dummyfunction("IF(D222,filter(Productos!AC:AC,Productos!A:A=B222),)"),"cocina")</f>
        <v>cocina</v>
      </c>
      <c r="I222" s="24" t="n">
        <f aca="false">IFERROR(__xludf.dummyfunction("""COMPUTED_VALUE"""),12500)</f>
        <v>12500</v>
      </c>
      <c r="K222" s="0" t="str">
        <f aca="false">IF(D222,"{""sku"":"""&amp;B222&amp;""", ""costo"":"&amp;C222&amp;", ""grupo"":"""&amp;A222&amp;""", ""lote"":"&amp;D222&amp;", ""tiempo"":"&amp;E222&amp;", "&amp;F222&amp;", ""vencimiento"":"&amp;G222&amp;IF(I222,", ""precio"":"&amp;I222,)&amp;", ""tipo"":"""&amp;H222&amp;"""},",)</f>
        <v>{"sku":"30006", "costo":10, "grupo":"3", "lote":1, "tiempo":10, "formula":[{"sku":"1309","req":5}], "vencimiento":1, "precio":12500, "tipo":"cocina"},</v>
      </c>
    </row>
    <row r="223" customFormat="false" ht="13" hidden="false" customHeight="false" outlineLevel="0" collapsed="false">
      <c r="A223" s="16" t="n">
        <v>3</v>
      </c>
      <c r="B223" s="0" t="n">
        <f aca="false">IFERROR(__xludf.dummyfunction("""COMPUTED_VALUE"""),30007)</f>
        <v>30007</v>
      </c>
      <c r="C223" s="24" t="n">
        <f aca="false">IFERROR(__xludf.dummyfunction("""COMPUTED_VALUE"""),10)</f>
        <v>10</v>
      </c>
      <c r="D223" s="0" t="n">
        <f aca="false">IFERROR(__xludf.dummyfunction("""COMPUTED_VALUE"""),1)</f>
        <v>1</v>
      </c>
      <c r="E223" s="0" t="n">
        <f aca="false">IFERROR(__xludf.dummyfunction("""COMPUTED_VALUE"""),10)</f>
        <v>10</v>
      </c>
      <c r="F223" s="0" t="str">
        <f aca="false">IFERROR(__xludf.dummyfunction("filter(Formulas!$C:$C,Formulas!$A:$A=B223)"),"""formula"":[{""sku"":""1309"",""req"":2},{""sku"":""1307"",""req"":2}]")</f>
        <v>"formula":[{"sku":"1309","req":2},{"sku":"1307","req":2}]</v>
      </c>
      <c r="G223" s="0" t="n">
        <f aca="false">IFERROR(__xludf.dummyfunction("""COMPUTED_VALUE"""),1)</f>
        <v>1</v>
      </c>
      <c r="H223" s="21" t="str">
        <f aca="false">IFERROR(__xludf.dummyfunction("IF(D223,filter(Productos!AC:AC,Productos!A:A=B223),)"),"cocina")</f>
        <v>cocina</v>
      </c>
      <c r="I223" s="24" t="n">
        <f aca="false">IFERROR(__xludf.dummyfunction("""COMPUTED_VALUE"""),9900)</f>
        <v>9900</v>
      </c>
      <c r="K223" s="0" t="str">
        <f aca="false">IF(D223,"{""sku"":"""&amp;B223&amp;""", ""costo"":"&amp;C223&amp;", ""grupo"":"""&amp;A223&amp;""", ""lote"":"&amp;D223&amp;", ""tiempo"":"&amp;E223&amp;", "&amp;F223&amp;", ""vencimiento"":"&amp;G223&amp;IF(I223,", ""precio"":"&amp;I223,)&amp;", ""tipo"":"""&amp;H223&amp;"""},",)</f>
        <v>{"sku":"30007", "costo":10, "grupo":"3", "lote":1, "tiempo":10, "formula":[{"sku":"1309","req":2},{"sku":"1307","req":2}], "vencimiento":1, "precio":9900, "tipo":"cocina"},</v>
      </c>
    </row>
    <row r="224" customFormat="false" ht="13" hidden="false" customHeight="false" outlineLevel="0" collapsed="false">
      <c r="A224" s="17" t="n">
        <v>3</v>
      </c>
      <c r="B224" s="0" t="n">
        <f aca="false">IFERROR(__xludf.dummyfunction("""COMPUTED_VALUE"""),30008)</f>
        <v>30008</v>
      </c>
      <c r="C224" s="24" t="n">
        <f aca="false">IFERROR(__xludf.dummyfunction("""COMPUTED_VALUE"""),10)</f>
        <v>10</v>
      </c>
      <c r="D224" s="0" t="n">
        <f aca="false">IFERROR(__xludf.dummyfunction("""COMPUTED_VALUE"""),1)</f>
        <v>1</v>
      </c>
      <c r="E224" s="0" t="n">
        <f aca="false">IFERROR(__xludf.dummyfunction("""COMPUTED_VALUE"""),10)</f>
        <v>10</v>
      </c>
      <c r="F224" s="0" t="str">
        <f aca="false">IFERROR(__xludf.dummyfunction("filter(Formulas!$C:$C,Formulas!$A:$A=B224)"),"""formula"":[{""sku"":""1309"",""req"":3},{""sku"":""1307"",""req"":3}]")</f>
        <v>"formula":[{"sku":"1309","req":3},{"sku":"1307","req":3}]</v>
      </c>
      <c r="G224" s="0" t="n">
        <f aca="false">IFERROR(__xludf.dummyfunction("""COMPUTED_VALUE"""),1)</f>
        <v>1</v>
      </c>
      <c r="H224" s="21" t="str">
        <f aca="false">IFERROR(__xludf.dummyfunction("IF(D224,filter(Productos!AC:AC,Productos!A:A=B224),)"),"cocina")</f>
        <v>cocina</v>
      </c>
      <c r="I224" s="24" t="n">
        <f aca="false">IFERROR(__xludf.dummyfunction("""COMPUTED_VALUE"""),15990)</f>
        <v>15990</v>
      </c>
      <c r="K224" s="0" t="str">
        <f aca="false">IF(D224,"{""sku"":"""&amp;B224&amp;""", ""costo"":"&amp;C224&amp;", ""grupo"":"""&amp;A224&amp;""", ""lote"":"&amp;D224&amp;", ""tiempo"":"&amp;E224&amp;", "&amp;F224&amp;", ""vencimiento"":"&amp;G224&amp;IF(I224,", ""precio"":"&amp;I224,)&amp;", ""tipo"":"""&amp;H224&amp;"""},",)</f>
        <v>{"sku":"30008", "costo":10, "grupo":"3", "lote":1, "tiempo":10, "formula":[{"sku":"1309","req":3},{"sku":"1307","req":3}], "vencimiento":1, "precio":15990, "tipo":"cocina"},</v>
      </c>
    </row>
    <row r="225" customFormat="false" ht="13" hidden="false" customHeight="false" outlineLevel="0" collapsed="false">
      <c r="H225" s="21" t="str">
        <f aca="false">IFERROR(__xludf.dummyfunction("IF(D225,filter(Productos!AC:AC,Productos!A:A=B225),)"),"")</f>
        <v/>
      </c>
      <c r="K225" s="0" t="n">
        <f aca="false">IF(D225,"{""sku"":"""&amp;B225&amp;""", ""costo"":"&amp;C225&amp;", ""grupo"":"""&amp;A225&amp;""", ""lote"":"&amp;D225&amp;", ""tiempo"":"&amp;E225&amp;", "&amp;F225&amp;", ""vencimiento"":"&amp;G225&amp;IF(I225,", ""precio"":"&amp;I225,)&amp;", ""tipo"":"""&amp;H225&amp;"""},",)</f>
        <v>0</v>
      </c>
    </row>
    <row r="226" customFormat="false" ht="13" hidden="false" customHeight="false" outlineLevel="0" collapsed="false">
      <c r="A226" s="22" t="s">
        <v>244</v>
      </c>
      <c r="B226" s="16" t="s">
        <v>245</v>
      </c>
      <c r="C226" s="16"/>
      <c r="D226" s="16"/>
      <c r="E226" s="16"/>
      <c r="F226" s="16"/>
      <c r="G226" s="25"/>
      <c r="H226" s="21" t="str">
        <f aca="false">IFERROR(__xludf.dummyfunction("IF(D226,filter(Productos!AC:AC,Productos!A:A=B226),)"),"")</f>
        <v/>
      </c>
      <c r="K226" s="0" t="n">
        <f aca="false">IF(D226,"{""sku"":"""&amp;B226&amp;""", ""costo"":"&amp;C226&amp;", ""grupo"":"""&amp;A226&amp;""", ""lote"":"&amp;D226&amp;", ""tiempo"":"&amp;E226&amp;", "&amp;F226&amp;", ""vencimiento"":"&amp;G226&amp;IF(I226,", ""precio"":"&amp;I226,)&amp;", ""tipo"":"""&amp;H226&amp;"""},",)</f>
        <v>0</v>
      </c>
    </row>
    <row r="227" customFormat="false" ht="13" hidden="false" customHeight="false" outlineLevel="0" collapsed="false">
      <c r="A227" s="17" t="n">
        <v>4</v>
      </c>
      <c r="B227" s="17" t="n">
        <f aca="false">IFERROR(__xludf.dummyfunction("filter(Productos!$A$2:$A1017,INDIRECT(B226))"),1001)</f>
        <v>1001</v>
      </c>
      <c r="C227" s="24" t="n">
        <f aca="false">IFERROR(__xludf.dummyfunction("filter(Productos!$D$2:$D1017,INDIRECT(B226))"),3000)</f>
        <v>3000</v>
      </c>
      <c r="D227" s="17" t="n">
        <f aca="false">IFERROR(__xludf.dummyfunction("filter(Productos!$K$2:$L1017,INDIRECT(B226))"),10)</f>
        <v>10</v>
      </c>
      <c r="E227" s="17" t="n">
        <f aca="false">IFERROR(__xludf.dummyfunction("""COMPUTED_VALUE"""),240)</f>
        <v>240</v>
      </c>
      <c r="F227" s="16" t="str">
        <f aca="false">IFERROR(__xludf.dummyfunction("filter(Formulas!$C:$C,Formulas!$A:$A=B227)"),"""formula"":null")</f>
        <v>"formula":null</v>
      </c>
      <c r="G227" s="26" t="n">
        <f aca="false">IFERROR(__xludf.dummyfunction("filter(Productos!$H$2:$H1017,INDIRECT(B226))"),720)</f>
        <v>720</v>
      </c>
      <c r="H227" s="21" t="str">
        <f aca="false">IFERROR(__xludf.dummyfunction("IF(D227,filter(Productos!AC:AC,Productos!A:A=B227),)"),"fabrica")</f>
        <v>fabrica</v>
      </c>
      <c r="I227" s="24" t="str">
        <f aca="false">IFERROR(__xludf.dummyfunction("filter(Productos!$E$2:$E1017,INDIRECT(B226))"),"")</f>
        <v/>
      </c>
      <c r="K227" s="0" t="e">
        <f aca="false">IF(D227,"{""sku"":"""&amp;B227&amp;""", ""costo"":"&amp;C227&amp;", ""grupo"":"""&amp;A227&amp;""", ""lote"":"&amp;D227&amp;", ""tiempo"":"&amp;E227&amp;", "&amp;F227&amp;", ""vencimiento"":"&amp;G227&amp;IF(I227,", ""precio"":"&amp;I227,)&amp;", ""tipo"":"""&amp;H227&amp;"""},",)</f>
        <v>#VALUE!</v>
      </c>
    </row>
    <row r="228" customFormat="false" ht="13" hidden="false" customHeight="false" outlineLevel="0" collapsed="false">
      <c r="A228" s="16" t="n">
        <v>4</v>
      </c>
      <c r="B228" s="0" t="n">
        <f aca="false">IFERROR(__xludf.dummyfunction("""COMPUTED_VALUE"""),1004)</f>
        <v>1004</v>
      </c>
      <c r="C228" s="24" t="n">
        <f aca="false">IFERROR(__xludf.dummyfunction("""COMPUTED_VALUE"""),2190)</f>
        <v>2190</v>
      </c>
      <c r="D228" s="0" t="n">
        <f aca="false">IFERROR(__xludf.dummyfunction("""COMPUTED_VALUE"""),100)</f>
        <v>100</v>
      </c>
      <c r="E228" s="0" t="n">
        <f aca="false">IFERROR(__xludf.dummyfunction("""COMPUTED_VALUE"""),400)</f>
        <v>400</v>
      </c>
      <c r="F228" s="0" t="str">
        <f aca="false">IFERROR(__xludf.dummyfunction("filter(Formulas!$C:$C,Formulas!$A:$A=B228)"),"""formula"":null")</f>
        <v>"formula":null</v>
      </c>
      <c r="G228" s="0" t="n">
        <f aca="false">IFERROR(__xludf.dummyfunction("""COMPUTED_VALUE"""),720)</f>
        <v>720</v>
      </c>
      <c r="H228" s="21" t="str">
        <f aca="false">IFERROR(__xludf.dummyfunction("IF(D228,filter(Productos!AC:AC,Productos!A:A=B228),)"),"fabrica")</f>
        <v>fabrica</v>
      </c>
      <c r="I228" s="24" t="str">
        <f aca="false">IFERROR(__xludf.dummyfunction("""COMPUTED_VALUE"""),"")</f>
        <v/>
      </c>
      <c r="K228" s="0" t="e">
        <f aca="false">IF(D228,"{""sku"":"""&amp;B228&amp;""", ""costo"":"&amp;C228&amp;", ""grupo"":"""&amp;A228&amp;""", ""lote"":"&amp;D228&amp;", ""tiempo"":"&amp;E228&amp;", "&amp;F228&amp;", ""vencimiento"":"&amp;G228&amp;IF(I228,", ""precio"":"&amp;I228,)&amp;", ""tipo"":"""&amp;H228&amp;"""},",)</f>
        <v>#VALUE!</v>
      </c>
    </row>
    <row r="229" customFormat="false" ht="13" hidden="false" customHeight="false" outlineLevel="0" collapsed="false">
      <c r="A229" s="17" t="n">
        <v>4</v>
      </c>
      <c r="B229" s="0" t="n">
        <f aca="false">IFERROR(__xludf.dummyfunction("""COMPUTED_VALUE"""),1005)</f>
        <v>1005</v>
      </c>
      <c r="C229" s="24" t="n">
        <f aca="false">IFERROR(__xludf.dummyfunction("""COMPUTED_VALUE"""),9990)</f>
        <v>9990</v>
      </c>
      <c r="D229" s="0" t="n">
        <f aca="false">IFERROR(__xludf.dummyfunction("""COMPUTED_VALUE"""),5)</f>
        <v>5</v>
      </c>
      <c r="E229" s="0" t="n">
        <f aca="false">IFERROR(__xludf.dummyfunction("""COMPUTED_VALUE"""),260)</f>
        <v>260</v>
      </c>
      <c r="F229" s="0" t="str">
        <f aca="false">IFERROR(__xludf.dummyfunction("filter(Formulas!$C:$C,Formulas!$A:$A=B229)"),"""formula"":null")</f>
        <v>"formula":null</v>
      </c>
      <c r="G229" s="0" t="n">
        <f aca="false">IFERROR(__xludf.dummyfunction("""COMPUTED_VALUE"""),24)</f>
        <v>24</v>
      </c>
      <c r="H229" s="21" t="str">
        <f aca="false">IFERROR(__xludf.dummyfunction("IF(D229,filter(Productos!AC:AC,Productos!A:A=B229),)"),"fabrica")</f>
        <v>fabrica</v>
      </c>
      <c r="I229" s="24" t="str">
        <f aca="false">IFERROR(__xludf.dummyfunction("""COMPUTED_VALUE"""),"")</f>
        <v/>
      </c>
      <c r="K229" s="0" t="e">
        <f aca="false">IF(D229,"{""sku"":"""&amp;B229&amp;""", ""costo"":"&amp;C229&amp;", ""grupo"":"""&amp;A229&amp;""", ""lote"":"&amp;D229&amp;", ""tiempo"":"&amp;E229&amp;", "&amp;F229&amp;", ""vencimiento"":"&amp;G229&amp;IF(I229,", ""precio"":"&amp;I229,)&amp;", ""tipo"":"""&amp;H229&amp;"""},",)</f>
        <v>#VALUE!</v>
      </c>
    </row>
    <row r="230" customFormat="false" ht="13" hidden="false" customHeight="false" outlineLevel="0" collapsed="false">
      <c r="A230" s="16" t="n">
        <v>4</v>
      </c>
      <c r="B230" s="0" t="n">
        <f aca="false">IFERROR(__xludf.dummyfunction("""COMPUTED_VALUE"""),1006)</f>
        <v>1006</v>
      </c>
      <c r="C230" s="24" t="n">
        <f aca="false">IFERROR(__xludf.dummyfunction("""COMPUTED_VALUE"""),15990)</f>
        <v>15990</v>
      </c>
      <c r="D230" s="0" t="n">
        <f aca="false">IFERROR(__xludf.dummyfunction("""COMPUTED_VALUE"""),1)</f>
        <v>1</v>
      </c>
      <c r="E230" s="0" t="n">
        <f aca="false">IFERROR(__xludf.dummyfunction("""COMPUTED_VALUE"""),120)</f>
        <v>120</v>
      </c>
      <c r="F230" s="0" t="str">
        <f aca="false">IFERROR(__xludf.dummyfunction("filter(Formulas!$C:$C,Formulas!$A:$A=B230)"),"""formula"":null")</f>
        <v>"formula":null</v>
      </c>
      <c r="G230" s="0" t="n">
        <f aca="false">IFERROR(__xludf.dummyfunction("""COMPUTED_VALUE"""),720)</f>
        <v>720</v>
      </c>
      <c r="H230" s="21" t="str">
        <f aca="false">IFERROR(__xludf.dummyfunction("IF(D230,filter(Productos!AC:AC,Productos!A:A=B230),)"),"fabrica")</f>
        <v>fabrica</v>
      </c>
      <c r="I230" s="24" t="str">
        <f aca="false">IFERROR(__xludf.dummyfunction("""COMPUTED_VALUE"""),"")</f>
        <v/>
      </c>
      <c r="K230" s="0" t="e">
        <f aca="false">IF(D230,"{""sku"":"""&amp;B230&amp;""", ""costo"":"&amp;C230&amp;", ""grupo"":"""&amp;A230&amp;""", ""lote"":"&amp;D230&amp;", ""tiempo"":"&amp;E230&amp;", "&amp;F230&amp;", ""vencimiento"":"&amp;G230&amp;IF(I230,", ""precio"":"&amp;I230,)&amp;", ""tipo"":"""&amp;H230&amp;"""},",)</f>
        <v>#VALUE!</v>
      </c>
    </row>
    <row r="231" customFormat="false" ht="13" hidden="false" customHeight="false" outlineLevel="0" collapsed="false">
      <c r="A231" s="17" t="n">
        <v>4</v>
      </c>
      <c r="B231" s="0" t="n">
        <f aca="false">IFERROR(__xludf.dummyfunction("""COMPUTED_VALUE"""),1009)</f>
        <v>1009</v>
      </c>
      <c r="C231" s="24" t="n">
        <f aca="false">IFERROR(__xludf.dummyfunction("""COMPUTED_VALUE"""),14370)</f>
        <v>14370</v>
      </c>
      <c r="D231" s="0" t="n">
        <f aca="false">IFERROR(__xludf.dummyfunction("""COMPUTED_VALUE"""),3)</f>
        <v>3</v>
      </c>
      <c r="E231" s="0" t="n">
        <f aca="false">IFERROR(__xludf.dummyfunction("""COMPUTED_VALUE"""),400)</f>
        <v>400</v>
      </c>
      <c r="F231" s="0" t="str">
        <f aca="false">IFERROR(__xludf.dummyfunction("filter(Formulas!$C:$C,Formulas!$A:$A=B231)"),"""formula"":null")</f>
        <v>"formula":null</v>
      </c>
      <c r="G231" s="0" t="n">
        <f aca="false">IFERROR(__xludf.dummyfunction("""COMPUTED_VALUE"""),15)</f>
        <v>15</v>
      </c>
      <c r="H231" s="21" t="str">
        <f aca="false">IFERROR(__xludf.dummyfunction("IF(D231,filter(Productos!AC:AC,Productos!A:A=B231),)"),"fabrica")</f>
        <v>fabrica</v>
      </c>
      <c r="I231" s="24" t="str">
        <f aca="false">IFERROR(__xludf.dummyfunction("""COMPUTED_VALUE"""),"")</f>
        <v/>
      </c>
      <c r="K231" s="0" t="e">
        <f aca="false">IF(D231,"{""sku"":"""&amp;B231&amp;""", ""costo"":"&amp;C231&amp;", ""grupo"":"""&amp;A231&amp;""", ""lote"":"&amp;D231&amp;", ""tiempo"":"&amp;E231&amp;", "&amp;F231&amp;", ""vencimiento"":"&amp;G231&amp;IF(I231,", ""precio"":"&amp;I231,)&amp;", ""tipo"":"""&amp;H231&amp;"""},",)</f>
        <v>#VALUE!</v>
      </c>
    </row>
    <row r="232" customFormat="false" ht="13" hidden="false" customHeight="false" outlineLevel="0" collapsed="false">
      <c r="A232" s="16" t="n">
        <v>4</v>
      </c>
      <c r="B232" s="0" t="n">
        <f aca="false">IFERROR(__xludf.dummyfunction("""COMPUTED_VALUE"""),1014)</f>
        <v>1014</v>
      </c>
      <c r="C232" s="24" t="n">
        <f aca="false">IFERROR(__xludf.dummyfunction("""COMPUTED_VALUE"""),690)</f>
        <v>690</v>
      </c>
      <c r="D232" s="0" t="n">
        <f aca="false">IFERROR(__xludf.dummyfunction("""COMPUTED_VALUE"""),5)</f>
        <v>5</v>
      </c>
      <c r="E232" s="0" t="n">
        <f aca="false">IFERROR(__xludf.dummyfunction("""COMPUTED_VALUE"""),240)</f>
        <v>240</v>
      </c>
      <c r="F232" s="0" t="str">
        <f aca="false">IFERROR(__xludf.dummyfunction("filter(Formulas!$C:$C,Formulas!$A:$A=B232)"),"""formula"":null")</f>
        <v>"formula":null</v>
      </c>
      <c r="G232" s="0" t="n">
        <f aca="false">IFERROR(__xludf.dummyfunction("""COMPUTED_VALUE"""),24)</f>
        <v>24</v>
      </c>
      <c r="H232" s="21" t="str">
        <f aca="false">IFERROR(__xludf.dummyfunction("IF(D232,filter(Productos!AC:AC,Productos!A:A=B232),)"),"fabrica")</f>
        <v>fabrica</v>
      </c>
      <c r="I232" s="24" t="str">
        <f aca="false">IFERROR(__xludf.dummyfunction("""COMPUTED_VALUE"""),"")</f>
        <v/>
      </c>
      <c r="K232" s="0" t="e">
        <f aca="false">IF(D232,"{""sku"":"""&amp;B232&amp;""", ""costo"":"&amp;C232&amp;", ""grupo"":"""&amp;A232&amp;""", ""lote"":"&amp;D232&amp;", ""tiempo"":"&amp;E232&amp;", "&amp;F232&amp;", ""vencimiento"":"&amp;G232&amp;IF(I232,", ""precio"":"&amp;I232,)&amp;", ""tipo"":"""&amp;H232&amp;"""},",)</f>
        <v>#VALUE!</v>
      </c>
    </row>
    <row r="233" customFormat="false" ht="13" hidden="false" customHeight="false" outlineLevel="0" collapsed="false">
      <c r="A233" s="17" t="n">
        <v>4</v>
      </c>
      <c r="B233" s="0" t="n">
        <f aca="false">IFERROR(__xludf.dummyfunction("""COMPUTED_VALUE"""),1015)</f>
        <v>1015</v>
      </c>
      <c r="C233" s="24" t="n">
        <f aca="false">IFERROR(__xludf.dummyfunction("""COMPUTED_VALUE"""),350)</f>
        <v>350</v>
      </c>
      <c r="D233" s="0" t="n">
        <f aca="false">IFERROR(__xludf.dummyfunction("""COMPUTED_VALUE"""),4)</f>
        <v>4</v>
      </c>
      <c r="E233" s="0" t="n">
        <f aca="false">IFERROR(__xludf.dummyfunction("""COMPUTED_VALUE"""),400)</f>
        <v>400</v>
      </c>
      <c r="F233" s="0" t="str">
        <f aca="false">IFERROR(__xludf.dummyfunction("filter(Formulas!$C:$C,Formulas!$A:$A=B233)"),"""formula"":null")</f>
        <v>"formula":null</v>
      </c>
      <c r="G233" s="0" t="n">
        <f aca="false">IFERROR(__xludf.dummyfunction("""COMPUTED_VALUE"""),30)</f>
        <v>30</v>
      </c>
      <c r="H233" s="21" t="str">
        <f aca="false">IFERROR(__xludf.dummyfunction("IF(D233,filter(Productos!AC:AC,Productos!A:A=B233),)"),"fabrica")</f>
        <v>fabrica</v>
      </c>
      <c r="I233" s="24" t="str">
        <f aca="false">IFERROR(__xludf.dummyfunction("""COMPUTED_VALUE"""),"")</f>
        <v/>
      </c>
      <c r="K233" s="0" t="e">
        <f aca="false">IF(D233,"{""sku"":"""&amp;B233&amp;""", ""costo"":"&amp;C233&amp;", ""grupo"":"""&amp;A233&amp;""", ""lote"":"&amp;D233&amp;", ""tiempo"":"&amp;E233&amp;", "&amp;F233&amp;", ""vencimiento"":"&amp;G233&amp;IF(I233,", ""precio"":"&amp;I233,)&amp;", ""tipo"":"""&amp;H233&amp;"""},",)</f>
        <v>#VALUE!</v>
      </c>
    </row>
    <row r="234" customFormat="false" ht="13" hidden="false" customHeight="false" outlineLevel="0" collapsed="false">
      <c r="A234" s="16" t="n">
        <v>4</v>
      </c>
      <c r="B234" s="0" t="n">
        <f aca="false">IFERROR(__xludf.dummyfunction("""COMPUTED_VALUE"""),1016)</f>
        <v>1016</v>
      </c>
      <c r="C234" s="24" t="n">
        <f aca="false">IFERROR(__xludf.dummyfunction("""COMPUTED_VALUE"""),2790)</f>
        <v>2790</v>
      </c>
      <c r="D234" s="0" t="n">
        <f aca="false">IFERROR(__xludf.dummyfunction("""COMPUTED_VALUE"""),8)</f>
        <v>8</v>
      </c>
      <c r="E234" s="0" t="n">
        <f aca="false">IFERROR(__xludf.dummyfunction("""COMPUTED_VALUE"""),600)</f>
        <v>600</v>
      </c>
      <c r="F234" s="0" t="str">
        <f aca="false">IFERROR(__xludf.dummyfunction("filter(Formulas!$C:$C,Formulas!$A:$A=B234)"),"""formula"":null")</f>
        <v>"formula":null</v>
      </c>
      <c r="G234" s="0" t="n">
        <f aca="false">IFERROR(__xludf.dummyfunction("""COMPUTED_VALUE"""),240)</f>
        <v>240</v>
      </c>
      <c r="H234" s="21" t="str">
        <f aca="false">IFERROR(__xludf.dummyfunction("IF(D234,filter(Productos!AC:AC,Productos!A:A=B234),)"),"fabrica")</f>
        <v>fabrica</v>
      </c>
      <c r="I234" s="0" t="str">
        <f aca="false">IFERROR(__xludf.dummyfunction("""COMPUTED_VALUE"""),"")</f>
        <v/>
      </c>
      <c r="K234" s="0" t="e">
        <f aca="false">IF(D234,"{""sku"":"""&amp;B234&amp;""", ""costo"":"&amp;C234&amp;", ""grupo"":"""&amp;A234&amp;""", ""lote"":"&amp;D234&amp;", ""tiempo"":"&amp;E234&amp;", "&amp;F234&amp;", ""vencimiento"":"&amp;G234&amp;IF(I234,", ""precio"":"&amp;I234,)&amp;", ""tipo"":"""&amp;H234&amp;"""},",)</f>
        <v>#VALUE!</v>
      </c>
    </row>
    <row r="235" customFormat="false" ht="13" hidden="false" customHeight="false" outlineLevel="0" collapsed="false">
      <c r="A235" s="17" t="n">
        <v>4</v>
      </c>
      <c r="B235" s="0" t="n">
        <f aca="false">IFERROR(__xludf.dummyfunction("""COMPUTED_VALUE"""),1101)</f>
        <v>1101</v>
      </c>
      <c r="C235" s="24" t="n">
        <f aca="false">IFERROR(__xludf.dummyfunction("""COMPUTED_VALUE"""),500)</f>
        <v>500</v>
      </c>
      <c r="D235" s="0" t="n">
        <f aca="false">IFERROR(__xludf.dummyfunction("""COMPUTED_VALUE"""),10)</f>
        <v>10</v>
      </c>
      <c r="E235" s="0" t="n">
        <f aca="false">IFERROR(__xludf.dummyfunction("""COMPUTED_VALUE"""),40)</f>
        <v>40</v>
      </c>
      <c r="F235" s="0" t="str">
        <f aca="false">IFERROR(__xludf.dummyfunction("filter(Formulas!$C:$C,Formulas!$A:$A=B235)"),"""formula"":[{""sku"":""1001"",""req"":8},{""sku"":""1003"",""req"":3},{""sku"":""1004"",""req"":2},{""sku"":""1002"",""req"":4}]")</f>
        <v>"formula":[{"sku":"1001","req":8},{"sku":"1003","req":3},{"sku":"1004","req":2},{"sku":"1002","req":4}]</v>
      </c>
      <c r="G235" s="0" t="n">
        <f aca="false">IFERROR(__xludf.dummyfunction("""COMPUTED_VALUE"""),3)</f>
        <v>3</v>
      </c>
      <c r="H235" s="21" t="str">
        <f aca="false">IFERROR(__xludf.dummyfunction("IF(D235,filter(Productos!AC:AC,Productos!A:A=B235),)"),"fabrica")</f>
        <v>fabrica</v>
      </c>
      <c r="I235" s="24" t="str">
        <f aca="false">IFERROR(__xludf.dummyfunction("""COMPUTED_VALUE"""),"")</f>
        <v/>
      </c>
      <c r="K235" s="0" t="e">
        <f aca="false">IF(D235,"{""sku"":"""&amp;B235&amp;""", ""costo"":"&amp;C235&amp;", ""grupo"":"""&amp;A235&amp;""", ""lote"":"&amp;D235&amp;", ""tiempo"":"&amp;E235&amp;", "&amp;F235&amp;", ""vencimiento"":"&amp;G235&amp;IF(I235,", ""precio"":"&amp;I235,)&amp;", ""tipo"":"""&amp;H235&amp;"""},",)</f>
        <v>#VALUE!</v>
      </c>
    </row>
    <row r="236" customFormat="false" ht="13" hidden="false" customHeight="false" outlineLevel="0" collapsed="false">
      <c r="A236" s="16" t="n">
        <v>4</v>
      </c>
      <c r="B236" s="0" t="n">
        <f aca="false">IFERROR(__xludf.dummyfunction("""COMPUTED_VALUE"""),1105)</f>
        <v>1105</v>
      </c>
      <c r="C236" s="24" t="n">
        <f aca="false">IFERROR(__xludf.dummyfunction("""COMPUTED_VALUE"""),10)</f>
        <v>10</v>
      </c>
      <c r="D236" s="0" t="n">
        <f aca="false">IFERROR(__xludf.dummyfunction("""COMPUTED_VALUE"""),10)</f>
        <v>10</v>
      </c>
      <c r="E236" s="0" t="n">
        <f aca="false">IFERROR(__xludf.dummyfunction("""COMPUTED_VALUE"""),10)</f>
        <v>10</v>
      </c>
      <c r="F236" s="0" t="str">
        <f aca="false">IFERROR(__xludf.dummyfunction("filter(Formulas!$C:$C,Formulas!$A:$A=B236)"),"""formula"":[{""sku"":""1005"",""req"":1}]")</f>
        <v>"formula":[{"sku":"1005","req":1}]</v>
      </c>
      <c r="G236" s="0" t="n">
        <f aca="false">IFERROR(__xludf.dummyfunction("""COMPUTED_VALUE"""),3)</f>
        <v>3</v>
      </c>
      <c r="H236" s="21" t="str">
        <f aca="false">IFERROR(__xludf.dummyfunction("IF(D236,filter(Productos!AC:AC,Productos!A:A=B236),)"),"fabrica")</f>
        <v>fabrica</v>
      </c>
      <c r="I236" s="24" t="str">
        <f aca="false">IFERROR(__xludf.dummyfunction("""COMPUTED_VALUE"""),"")</f>
        <v/>
      </c>
      <c r="K236" s="0" t="e">
        <f aca="false">IF(D236,"{""sku"":"""&amp;B236&amp;""", ""costo"":"&amp;C236&amp;", ""grupo"":"""&amp;A236&amp;""", ""lote"":"&amp;D236&amp;", ""tiempo"":"&amp;E236&amp;", "&amp;F236&amp;", ""vencimiento"":"&amp;G236&amp;IF(I236,", ""precio"":"&amp;I236,)&amp;", ""tipo"":"""&amp;H236&amp;"""},",)</f>
        <v>#VALUE!</v>
      </c>
    </row>
    <row r="237" customFormat="false" ht="13" hidden="false" customHeight="false" outlineLevel="0" collapsed="false">
      <c r="A237" s="17" t="n">
        <v>4</v>
      </c>
      <c r="B237" s="0" t="n">
        <f aca="false">IFERROR(__xludf.dummyfunction("""COMPUTED_VALUE"""),1106)</f>
        <v>1106</v>
      </c>
      <c r="C237" s="24" t="n">
        <f aca="false">IFERROR(__xludf.dummyfunction("""COMPUTED_VALUE"""),700)</f>
        <v>700</v>
      </c>
      <c r="D237" s="0" t="n">
        <f aca="false">IFERROR(__xludf.dummyfunction("""COMPUTED_VALUE"""),100)</f>
        <v>100</v>
      </c>
      <c r="E237" s="0" t="n">
        <f aca="false">IFERROR(__xludf.dummyfunction("""COMPUTED_VALUE"""),30)</f>
        <v>30</v>
      </c>
      <c r="F237" s="0" t="str">
        <f aca="false">IFERROR(__xludf.dummyfunction("filter(Formulas!$C:$C,Formulas!$A:$A=B237)"),"""formula"":[{""sku"":""1006"",""req"":1}]")</f>
        <v>"formula":[{"sku":"1006","req":1}]</v>
      </c>
      <c r="G237" s="0" t="n">
        <f aca="false">IFERROR(__xludf.dummyfunction("""COMPUTED_VALUE"""),4)</f>
        <v>4</v>
      </c>
      <c r="H237" s="21" t="str">
        <f aca="false">IFERROR(__xludf.dummyfunction("IF(D237,filter(Productos!AC:AC,Productos!A:A=B237),)"),"fabrica")</f>
        <v>fabrica</v>
      </c>
      <c r="I237" s="24" t="str">
        <f aca="false">IFERROR(__xludf.dummyfunction("""COMPUTED_VALUE"""),"")</f>
        <v/>
      </c>
      <c r="K237" s="0" t="e">
        <f aca="false">IF(D237,"{""sku"":"""&amp;B237&amp;""", ""costo"":"&amp;C237&amp;", ""grupo"":"""&amp;A237&amp;""", ""lote"":"&amp;D237&amp;", ""tiempo"":"&amp;E237&amp;", "&amp;F237&amp;", ""vencimiento"":"&amp;G237&amp;IF(I237,", ""precio"":"&amp;I237,)&amp;", ""tipo"":"""&amp;H237&amp;"""},",)</f>
        <v>#VALUE!</v>
      </c>
    </row>
    <row r="238" customFormat="false" ht="13" hidden="false" customHeight="false" outlineLevel="0" collapsed="false">
      <c r="A238" s="16" t="n">
        <v>4</v>
      </c>
      <c r="B238" s="0" t="n">
        <f aca="false">IFERROR(__xludf.dummyfunction("""COMPUTED_VALUE"""),1107)</f>
        <v>1107</v>
      </c>
      <c r="C238" s="24" t="n">
        <f aca="false">IFERROR(__xludf.dummyfunction("""COMPUTED_VALUE"""),10)</f>
        <v>10</v>
      </c>
      <c r="D238" s="0" t="n">
        <f aca="false">IFERROR(__xludf.dummyfunction("""COMPUTED_VALUE"""),11)</f>
        <v>11</v>
      </c>
      <c r="E238" s="0" t="n">
        <f aca="false">IFERROR(__xludf.dummyfunction("""COMPUTED_VALUE"""),20)</f>
        <v>20</v>
      </c>
      <c r="F238" s="0" t="str">
        <f aca="false">IFERROR(__xludf.dummyfunction("filter(Formulas!$C:$C,Formulas!$A:$A=B238)"),"""formula"":[{""sku"":""1007"",""req"":1}]")</f>
        <v>"formula":[{"sku":"1007","req":1}]</v>
      </c>
      <c r="G238" s="0" t="n">
        <f aca="false">IFERROR(__xludf.dummyfunction("""COMPUTED_VALUE"""),2)</f>
        <v>2</v>
      </c>
      <c r="H238" s="21" t="str">
        <f aca="false">IFERROR(__xludf.dummyfunction("IF(D238,filter(Productos!AC:AC,Productos!A:A=B238),)"),"fabrica")</f>
        <v>fabrica</v>
      </c>
      <c r="I238" s="24" t="str">
        <f aca="false">IFERROR(__xludf.dummyfunction("""COMPUTED_VALUE"""),"")</f>
        <v/>
      </c>
      <c r="K238" s="0" t="e">
        <f aca="false">IF(D238,"{""sku"":"""&amp;B238&amp;""", ""costo"":"&amp;C238&amp;", ""grupo"":"""&amp;A238&amp;""", ""lote"":"&amp;D238&amp;", ""tiempo"":"&amp;E238&amp;", "&amp;F238&amp;", ""vencimiento"":"&amp;G238&amp;IF(I238,", ""precio"":"&amp;I238,)&amp;", ""tipo"":"""&amp;H238&amp;"""},",)</f>
        <v>#VALUE!</v>
      </c>
    </row>
    <row r="239" customFormat="false" ht="13" hidden="false" customHeight="false" outlineLevel="0" collapsed="false">
      <c r="A239" s="17" t="n">
        <v>4</v>
      </c>
      <c r="B239" s="0" t="n">
        <f aca="false">IFERROR(__xludf.dummyfunction("""COMPUTED_VALUE"""),1108)</f>
        <v>1108</v>
      </c>
      <c r="C239" s="24" t="n">
        <f aca="false">IFERROR(__xludf.dummyfunction("""COMPUTED_VALUE"""),10)</f>
        <v>10</v>
      </c>
      <c r="D239" s="0" t="n">
        <f aca="false">IFERROR(__xludf.dummyfunction("""COMPUTED_VALUE"""),6)</f>
        <v>6</v>
      </c>
      <c r="E239" s="0" t="n">
        <f aca="false">IFERROR(__xludf.dummyfunction("""COMPUTED_VALUE"""),20)</f>
        <v>20</v>
      </c>
      <c r="F239" s="0" t="str">
        <f aca="false">IFERROR(__xludf.dummyfunction("filter(Formulas!$C:$C,Formulas!$A:$A=B239)"),"""formula"":[{""sku"":""1008"",""req"":1}]")</f>
        <v>"formula":[{"sku":"1008","req":1}]</v>
      </c>
      <c r="G239" s="0" t="n">
        <f aca="false">IFERROR(__xludf.dummyfunction("""COMPUTED_VALUE"""),4)</f>
        <v>4</v>
      </c>
      <c r="H239" s="21" t="str">
        <f aca="false">IFERROR(__xludf.dummyfunction("IF(D239,filter(Productos!AC:AC,Productos!A:A=B239),)"),"fabrica")</f>
        <v>fabrica</v>
      </c>
      <c r="I239" s="24" t="str">
        <f aca="false">IFERROR(__xludf.dummyfunction("""COMPUTED_VALUE"""),"")</f>
        <v/>
      </c>
      <c r="K239" s="0" t="e">
        <f aca="false">IF(D239,"{""sku"":"""&amp;B239&amp;""", ""costo"":"&amp;C239&amp;", ""grupo"":"""&amp;A239&amp;""", ""lote"":"&amp;D239&amp;", ""tiempo"":"&amp;E239&amp;", "&amp;F239&amp;", ""vencimiento"":"&amp;G239&amp;IF(I239,", ""precio"":"&amp;I239,)&amp;", ""tipo"":"""&amp;H239&amp;"""},",)</f>
        <v>#VALUE!</v>
      </c>
    </row>
    <row r="240" customFormat="false" ht="13" hidden="false" customHeight="false" outlineLevel="0" collapsed="false">
      <c r="A240" s="16" t="n">
        <v>4</v>
      </c>
      <c r="B240" s="0" t="n">
        <f aca="false">IFERROR(__xludf.dummyfunction("""COMPUTED_VALUE"""),1109)</f>
        <v>1109</v>
      </c>
      <c r="C240" s="24" t="n">
        <f aca="false">IFERROR(__xludf.dummyfunction("""COMPUTED_VALUE"""),10)</f>
        <v>10</v>
      </c>
      <c r="D240" s="0" t="n">
        <f aca="false">IFERROR(__xludf.dummyfunction("""COMPUTED_VALUE"""),12)</f>
        <v>12</v>
      </c>
      <c r="E240" s="0" t="n">
        <f aca="false">IFERROR(__xludf.dummyfunction("""COMPUTED_VALUE"""),30)</f>
        <v>30</v>
      </c>
      <c r="F240" s="0" t="str">
        <f aca="false">IFERROR(__xludf.dummyfunction("filter(Formulas!$C:$C,Formulas!$A:$A=B240)"),"""formula"":[{""sku"":""1009"",""req"":1}]")</f>
        <v>"formula":[{"sku":"1009","req":1}]</v>
      </c>
      <c r="G240" s="0" t="n">
        <f aca="false">IFERROR(__xludf.dummyfunction("""COMPUTED_VALUE"""),1.5)</f>
        <v>1.5</v>
      </c>
      <c r="H240" s="21" t="str">
        <f aca="false">IFERROR(__xludf.dummyfunction("IF(D240,filter(Productos!AC:AC,Productos!A:A=B240),)"),"fabrica")</f>
        <v>fabrica</v>
      </c>
      <c r="I240" s="24" t="str">
        <f aca="false">IFERROR(__xludf.dummyfunction("""COMPUTED_VALUE"""),"")</f>
        <v/>
      </c>
      <c r="K240" s="0" t="e">
        <f aca="false">IF(D240,"{""sku"":"""&amp;B240&amp;""", ""costo"":"&amp;C240&amp;", ""grupo"":"""&amp;A240&amp;""", ""lote"":"&amp;D240&amp;", ""tiempo"":"&amp;E240&amp;", "&amp;F240&amp;", ""vencimiento"":"&amp;G240&amp;IF(I240,", ""precio"":"&amp;I240,)&amp;", ""tipo"":"""&amp;H240&amp;"""},",)</f>
        <v>#VALUE!</v>
      </c>
    </row>
    <row r="241" customFormat="false" ht="13" hidden="false" customHeight="false" outlineLevel="0" collapsed="false">
      <c r="A241" s="17" t="n">
        <v>4</v>
      </c>
      <c r="B241" s="0" t="n">
        <f aca="false">IFERROR(__xludf.dummyfunction("""COMPUTED_VALUE"""),1110)</f>
        <v>1110</v>
      </c>
      <c r="C241" s="24" t="n">
        <f aca="false">IFERROR(__xludf.dummyfunction("""COMPUTED_VALUE"""),10)</f>
        <v>10</v>
      </c>
      <c r="D241" s="0" t="n">
        <f aca="false">IFERROR(__xludf.dummyfunction("""COMPUTED_VALUE"""),6)</f>
        <v>6</v>
      </c>
      <c r="E241" s="0" t="n">
        <f aca="false">IFERROR(__xludf.dummyfunction("""COMPUTED_VALUE"""),10)</f>
        <v>10</v>
      </c>
      <c r="F241" s="0" t="str">
        <f aca="false">IFERROR(__xludf.dummyfunction("filter(Formulas!$C:$C,Formulas!$A:$A=B241)"),"""formula"":[{""sku"":""1010"",""req"":1}]")</f>
        <v>"formula":[{"sku":"1010","req":1}]</v>
      </c>
      <c r="G241" s="0" t="n">
        <f aca="false">IFERROR(__xludf.dummyfunction("""COMPUTED_VALUE"""),2)</f>
        <v>2</v>
      </c>
      <c r="H241" s="21" t="str">
        <f aca="false">IFERROR(__xludf.dummyfunction("IF(D241,filter(Productos!AC:AC,Productos!A:A=B241),)"),"fabrica")</f>
        <v>fabrica</v>
      </c>
      <c r="I241" s="24" t="str">
        <f aca="false">IFERROR(__xludf.dummyfunction("""COMPUTED_VALUE"""),"")</f>
        <v/>
      </c>
      <c r="K241" s="0" t="e">
        <f aca="false">IF(D241,"{""sku"":"""&amp;B241&amp;""", ""costo"":"&amp;C241&amp;", ""grupo"":"""&amp;A241&amp;""", ""lote"":"&amp;D241&amp;", ""tiempo"":"&amp;E241&amp;", "&amp;F241&amp;", ""vencimiento"":"&amp;G241&amp;IF(I241,", ""precio"":"&amp;I241,)&amp;", ""tipo"":"""&amp;H241&amp;"""},",)</f>
        <v>#VALUE!</v>
      </c>
    </row>
    <row r="242" customFormat="false" ht="13" hidden="false" customHeight="false" outlineLevel="0" collapsed="false">
      <c r="A242" s="16" t="n">
        <v>4</v>
      </c>
      <c r="B242" s="0" t="n">
        <f aca="false">IFERROR(__xludf.dummyfunction("""COMPUTED_VALUE"""),1111)</f>
        <v>1111</v>
      </c>
      <c r="C242" s="24" t="n">
        <f aca="false">IFERROR(__xludf.dummyfunction("""COMPUTED_VALUE"""),120)</f>
        <v>120</v>
      </c>
      <c r="D242" s="0" t="n">
        <f aca="false">IFERROR(__xludf.dummyfunction("""COMPUTED_VALUE"""),2)</f>
        <v>2</v>
      </c>
      <c r="E242" s="0" t="n">
        <f aca="false">IFERROR(__xludf.dummyfunction("""COMPUTED_VALUE"""),30)</f>
        <v>30</v>
      </c>
      <c r="F242" s="0" t="str">
        <f aca="false">IFERROR(__xludf.dummyfunction("filter(Formulas!$C:$C,Formulas!$A:$A=B242)"),"""formula"":[{""sku"":""1011"",""req"":2}]")</f>
        <v>"formula":[{"sku":"1011","req":2}]</v>
      </c>
      <c r="G242" s="0" t="n">
        <f aca="false">IFERROR(__xludf.dummyfunction("""COMPUTED_VALUE"""),12)</f>
        <v>12</v>
      </c>
      <c r="H242" s="21" t="str">
        <f aca="false">IFERROR(__xludf.dummyfunction("IF(D242,filter(Productos!AC:AC,Productos!A:A=B242),)"),"fabrica")</f>
        <v>fabrica</v>
      </c>
      <c r="I242" s="24" t="str">
        <f aca="false">IFERROR(__xludf.dummyfunction("""COMPUTED_VALUE"""),"")</f>
        <v/>
      </c>
      <c r="K242" s="0" t="e">
        <f aca="false">IF(D242,"{""sku"":"""&amp;B242&amp;""", ""costo"":"&amp;C242&amp;", ""grupo"":"""&amp;A242&amp;""", ""lote"":"&amp;D242&amp;", ""tiempo"":"&amp;E242&amp;", "&amp;F242&amp;", ""vencimiento"":"&amp;G242&amp;IF(I242,", ""precio"":"&amp;I242,)&amp;", ""tipo"":"""&amp;H242&amp;"""},",)</f>
        <v>#VALUE!</v>
      </c>
    </row>
    <row r="243" customFormat="false" ht="13" hidden="false" customHeight="false" outlineLevel="0" collapsed="false">
      <c r="A243" s="17" t="n">
        <v>4</v>
      </c>
      <c r="B243" s="0" t="n">
        <f aca="false">IFERROR(__xludf.dummyfunction("""COMPUTED_VALUE"""),1112)</f>
        <v>1112</v>
      </c>
      <c r="C243" s="24" t="n">
        <f aca="false">IFERROR(__xludf.dummyfunction("""COMPUTED_VALUE"""),10)</f>
        <v>10</v>
      </c>
      <c r="D243" s="0" t="n">
        <f aca="false">IFERROR(__xludf.dummyfunction("""COMPUTED_VALUE"""),20)</f>
        <v>20</v>
      </c>
      <c r="E243" s="0" t="n">
        <f aca="false">IFERROR(__xludf.dummyfunction("""COMPUTED_VALUE"""),10)</f>
        <v>10</v>
      </c>
      <c r="F243" s="0" t="str">
        <f aca="false">IFERROR(__xludf.dummyfunction("filter(Formulas!$C:$C,Formulas!$A:$A=B243)"),"""formula"":[{""sku"":""1012"",""req"":1}]")</f>
        <v>"formula":[{"sku":"1012","req":1}]</v>
      </c>
      <c r="G243" s="0" t="n">
        <f aca="false">IFERROR(__xludf.dummyfunction("""COMPUTED_VALUE"""),24)</f>
        <v>24</v>
      </c>
      <c r="H243" s="21" t="str">
        <f aca="false">IFERROR(__xludf.dummyfunction("IF(D243,filter(Productos!AC:AC,Productos!A:A=B243),)"),"fabrica")</f>
        <v>fabrica</v>
      </c>
      <c r="I243" s="24" t="str">
        <f aca="false">IFERROR(__xludf.dummyfunction("""COMPUTED_VALUE"""),"")</f>
        <v/>
      </c>
      <c r="K243" s="0" t="e">
        <f aca="false">IF(D243,"{""sku"":"""&amp;B243&amp;""", ""costo"":"&amp;C243&amp;", ""grupo"":"""&amp;A243&amp;""", ""lote"":"&amp;D243&amp;", ""tiempo"":"&amp;E243&amp;", "&amp;F243&amp;", ""vencimiento"":"&amp;G243&amp;IF(I243,", ""precio"":"&amp;I243,)&amp;", ""tipo"":"""&amp;H243&amp;"""},",)</f>
        <v>#VALUE!</v>
      </c>
    </row>
    <row r="244" customFormat="false" ht="13" hidden="false" customHeight="false" outlineLevel="0" collapsed="false">
      <c r="A244" s="16" t="n">
        <v>4</v>
      </c>
      <c r="B244" s="0" t="n">
        <f aca="false">IFERROR(__xludf.dummyfunction("""COMPUTED_VALUE"""),1114)</f>
        <v>1114</v>
      </c>
      <c r="C244" s="24" t="n">
        <f aca="false">IFERROR(__xludf.dummyfunction("""COMPUTED_VALUE"""),10)</f>
        <v>10</v>
      </c>
      <c r="D244" s="0" t="n">
        <f aca="false">IFERROR(__xludf.dummyfunction("""COMPUTED_VALUE"""),4)</f>
        <v>4</v>
      </c>
      <c r="E244" s="0" t="n">
        <f aca="false">IFERROR(__xludf.dummyfunction("""COMPUTED_VALUE"""),10)</f>
        <v>10</v>
      </c>
      <c r="F244" s="0" t="str">
        <f aca="false">IFERROR(__xludf.dummyfunction("filter(Formulas!$C:$C,Formulas!$A:$A=B244)"),"""formula"":[{""sku"":""1014"",""req"":1}]")</f>
        <v>"formula":[{"sku":"1014","req":1}]</v>
      </c>
      <c r="G244" s="0" t="n">
        <f aca="false">IFERROR(__xludf.dummyfunction("""COMPUTED_VALUE"""),2)</f>
        <v>2</v>
      </c>
      <c r="H244" s="21" t="str">
        <f aca="false">IFERROR(__xludf.dummyfunction("IF(D244,filter(Productos!AC:AC,Productos!A:A=B244),)"),"fabrica")</f>
        <v>fabrica</v>
      </c>
      <c r="I244" s="24" t="str">
        <f aca="false">IFERROR(__xludf.dummyfunction("""COMPUTED_VALUE"""),"")</f>
        <v/>
      </c>
      <c r="K244" s="0" t="e">
        <f aca="false">IF(D244,"{""sku"":"""&amp;B244&amp;""", ""costo"":"&amp;C244&amp;", ""grupo"":"""&amp;A244&amp;""", ""lote"":"&amp;D244&amp;", ""tiempo"":"&amp;E244&amp;", "&amp;F244&amp;", ""vencimiento"":"&amp;G244&amp;IF(I244,", ""precio"":"&amp;I244,)&amp;", ""tipo"":"""&amp;H244&amp;"""},",)</f>
        <v>#VALUE!</v>
      </c>
    </row>
    <row r="245" customFormat="false" ht="13" hidden="false" customHeight="false" outlineLevel="0" collapsed="false">
      <c r="A245" s="17" t="n">
        <v>4</v>
      </c>
      <c r="B245" s="0" t="n">
        <f aca="false">IFERROR(__xludf.dummyfunction("""COMPUTED_VALUE"""),1115)</f>
        <v>1115</v>
      </c>
      <c r="C245" s="24" t="n">
        <f aca="false">IFERROR(__xludf.dummyfunction("""COMPUTED_VALUE"""),10)</f>
        <v>10</v>
      </c>
      <c r="D245" s="0" t="n">
        <f aca="false">IFERROR(__xludf.dummyfunction("""COMPUTED_VALUE"""),8)</f>
        <v>8</v>
      </c>
      <c r="E245" s="0" t="n">
        <f aca="false">IFERROR(__xludf.dummyfunction("""COMPUTED_VALUE"""),10)</f>
        <v>10</v>
      </c>
      <c r="F245" s="0" t="str">
        <f aca="false">IFERROR(__xludf.dummyfunction("filter(Formulas!$C:$C,Formulas!$A:$A=B245)"),"""formula"":[{""sku"":""1015"",""req"":2}]")</f>
        <v>"formula":[{"sku":"1015","req":2}]</v>
      </c>
      <c r="G245" s="0" t="n">
        <f aca="false">IFERROR(__xludf.dummyfunction("""COMPUTED_VALUE"""),3)</f>
        <v>3</v>
      </c>
      <c r="H245" s="21" t="str">
        <f aca="false">IFERROR(__xludf.dummyfunction("IF(D245,filter(Productos!AC:AC,Productos!A:A=B245),)"),"fabrica")</f>
        <v>fabrica</v>
      </c>
      <c r="I245" s="24" t="str">
        <f aca="false">IFERROR(__xludf.dummyfunction("""COMPUTED_VALUE"""),"")</f>
        <v/>
      </c>
      <c r="K245" s="0" t="e">
        <f aca="false">IF(D245,"{""sku"":"""&amp;B245&amp;""", ""costo"":"&amp;C245&amp;", ""grupo"":"""&amp;A245&amp;""", ""lote"":"&amp;D245&amp;", ""tiempo"":"&amp;E245&amp;", "&amp;F245&amp;", ""vencimiento"":"&amp;G245&amp;IF(I245,", ""precio"":"&amp;I245,)&amp;", ""tipo"":"""&amp;H245&amp;"""},",)</f>
        <v>#VALUE!</v>
      </c>
    </row>
    <row r="246" customFormat="false" ht="13" hidden="false" customHeight="false" outlineLevel="0" collapsed="false">
      <c r="A246" s="16" t="n">
        <v>4</v>
      </c>
      <c r="B246" s="0" t="n">
        <f aca="false">IFERROR(__xludf.dummyfunction("""COMPUTED_VALUE"""),1116)</f>
        <v>1116</v>
      </c>
      <c r="C246" s="24" t="n">
        <f aca="false">IFERROR(__xludf.dummyfunction("""COMPUTED_VALUE"""),10)</f>
        <v>10</v>
      </c>
      <c r="D246" s="0" t="n">
        <f aca="false">IFERROR(__xludf.dummyfunction("""COMPUTED_VALUE"""),10)</f>
        <v>10</v>
      </c>
      <c r="E246" s="0" t="n">
        <f aca="false">IFERROR(__xludf.dummyfunction("""COMPUTED_VALUE"""),40)</f>
        <v>40</v>
      </c>
      <c r="F246" s="0" t="str">
        <f aca="false">IFERROR(__xludf.dummyfunction("filter(Formulas!$C:$C,Formulas!$A:$A=B246)"),"""formula"":[{""sku"":""1016"",""req"":11}]")</f>
        <v>"formula":[{"sku":"1016","req":11}]</v>
      </c>
      <c r="G246" s="0" t="n">
        <f aca="false">IFERROR(__xludf.dummyfunction("""COMPUTED_VALUE"""),24)</f>
        <v>24</v>
      </c>
      <c r="H246" s="21" t="str">
        <f aca="false">IFERROR(__xludf.dummyfunction("IF(D246,filter(Productos!AC:AC,Productos!A:A=B246),)"),"fabrica")</f>
        <v>fabrica</v>
      </c>
      <c r="I246" s="0" t="str">
        <f aca="false">IFERROR(__xludf.dummyfunction("""COMPUTED_VALUE"""),"")</f>
        <v/>
      </c>
      <c r="K246" s="0" t="e">
        <f aca="false">IF(D246,"{""sku"":"""&amp;B246&amp;""", ""costo"":"&amp;C246&amp;", ""grupo"":"""&amp;A246&amp;""", ""lote"":"&amp;D246&amp;", ""tiempo"":"&amp;E246&amp;", "&amp;F246&amp;", ""vencimiento"":"&amp;G246&amp;IF(I246,", ""precio"":"&amp;I246,)&amp;", ""tipo"":"""&amp;H246&amp;"""},",)</f>
        <v>#VALUE!</v>
      </c>
    </row>
    <row r="247" customFormat="false" ht="13" hidden="false" customHeight="false" outlineLevel="0" collapsed="false">
      <c r="A247" s="17" t="n">
        <v>4</v>
      </c>
      <c r="B247" s="0" t="n">
        <f aca="false">IFERROR(__xludf.dummyfunction("""COMPUTED_VALUE"""),1201)</f>
        <v>1201</v>
      </c>
      <c r="C247" s="24" t="n">
        <f aca="false">IFERROR(__xludf.dummyfunction("""COMPUTED_VALUE"""),10)</f>
        <v>10</v>
      </c>
      <c r="D247" s="0" t="n">
        <f aca="false">IFERROR(__xludf.dummyfunction("""COMPUTED_VALUE"""),10)</f>
        <v>10</v>
      </c>
      <c r="E247" s="0" t="n">
        <f aca="false">IFERROR(__xludf.dummyfunction("""COMPUTED_VALUE"""),10)</f>
        <v>10</v>
      </c>
      <c r="F247" s="0" t="str">
        <f aca="false">IFERROR(__xludf.dummyfunction("filter(Formulas!$C:$C,Formulas!$A:$A=B247)"),"""formula"":[{""sku"":""1101"",""req"":1}]")</f>
        <v>"formula":[{"sku":"1101","req":1}]</v>
      </c>
      <c r="G247" s="0" t="n">
        <f aca="false">IFERROR(__xludf.dummyfunction("""COMPUTED_VALUE"""),2)</f>
        <v>2</v>
      </c>
      <c r="H247" s="21" t="str">
        <f aca="false">IFERROR(__xludf.dummyfunction("IF(D247,filter(Productos!AC:AC,Productos!A:A=B247),)"),"fabrica")</f>
        <v>fabrica</v>
      </c>
      <c r="I247" s="24" t="str">
        <f aca="false">IFERROR(__xludf.dummyfunction("""COMPUTED_VALUE"""),"")</f>
        <v/>
      </c>
      <c r="K247" s="0" t="e">
        <f aca="false">IF(D247,"{""sku"":"""&amp;B247&amp;""", ""costo"":"&amp;C247&amp;", ""grupo"":"""&amp;A247&amp;""", ""lote"":"&amp;D247&amp;", ""tiempo"":"&amp;E247&amp;", "&amp;F247&amp;", ""vencimiento"":"&amp;G247&amp;IF(I247,", ""precio"":"&amp;I247,)&amp;", ""tipo"":"""&amp;H247&amp;"""},",)</f>
        <v>#VALUE!</v>
      </c>
    </row>
    <row r="248" customFormat="false" ht="13" hidden="false" customHeight="false" outlineLevel="0" collapsed="false">
      <c r="A248" s="16" t="n">
        <v>4</v>
      </c>
      <c r="B248" s="0" t="n">
        <f aca="false">IFERROR(__xludf.dummyfunction("""COMPUTED_VALUE"""),1207)</f>
        <v>1207</v>
      </c>
      <c r="C248" s="24" t="n">
        <f aca="false">IFERROR(__xludf.dummyfunction("""COMPUTED_VALUE"""),30)</f>
        <v>30</v>
      </c>
      <c r="D248" s="0" t="n">
        <f aca="false">IFERROR(__xludf.dummyfunction("""COMPUTED_VALUE"""),12)</f>
        <v>12</v>
      </c>
      <c r="E248" s="0" t="n">
        <f aca="false">IFERROR(__xludf.dummyfunction("""COMPUTED_VALUE"""),20)</f>
        <v>20</v>
      </c>
      <c r="F248" s="0" t="str">
        <f aca="false">IFERROR(__xludf.dummyfunction("filter(Formulas!$C:$C,Formulas!$A:$A=B248)"),"""formula"":[{""sku"":""1007"",""req"":1}]")</f>
        <v>"formula":[{"sku":"1007","req":1}]</v>
      </c>
      <c r="G248" s="0" t="n">
        <f aca="false">IFERROR(__xludf.dummyfunction("""COMPUTED_VALUE"""),2)</f>
        <v>2</v>
      </c>
      <c r="H248" s="21" t="str">
        <f aca="false">IFERROR(__xludf.dummyfunction("IF(D248,filter(Productos!AC:AC,Productos!A:A=B248),)"),"fabrica")</f>
        <v>fabrica</v>
      </c>
      <c r="I248" s="24" t="str">
        <f aca="false">IFERROR(__xludf.dummyfunction("""COMPUTED_VALUE"""),"")</f>
        <v/>
      </c>
      <c r="K248" s="0" t="e">
        <f aca="false">IF(D248,"{""sku"":"""&amp;B248&amp;""", ""costo"":"&amp;C248&amp;", ""grupo"":"""&amp;A248&amp;""", ""lote"":"&amp;D248&amp;", ""tiempo"":"&amp;E248&amp;", "&amp;F248&amp;", ""vencimiento"":"&amp;G248&amp;IF(I248,", ""precio"":"&amp;I248,)&amp;", ""tipo"":"""&amp;H248&amp;"""},",)</f>
        <v>#VALUE!</v>
      </c>
    </row>
    <row r="249" customFormat="false" ht="13" hidden="false" customHeight="false" outlineLevel="0" collapsed="false">
      <c r="A249" s="17" t="n">
        <v>4</v>
      </c>
      <c r="B249" s="0" t="n">
        <f aca="false">IFERROR(__xludf.dummyfunction("""COMPUTED_VALUE"""),1209)</f>
        <v>1209</v>
      </c>
      <c r="C249" s="24" t="n">
        <f aca="false">IFERROR(__xludf.dummyfunction("""COMPUTED_VALUE"""),30)</f>
        <v>30</v>
      </c>
      <c r="D249" s="0" t="n">
        <f aca="false">IFERROR(__xludf.dummyfunction("""COMPUTED_VALUE"""),14)</f>
        <v>14</v>
      </c>
      <c r="E249" s="0" t="n">
        <f aca="false">IFERROR(__xludf.dummyfunction("""COMPUTED_VALUE"""),30)</f>
        <v>30</v>
      </c>
      <c r="F249" s="0" t="str">
        <f aca="false">IFERROR(__xludf.dummyfunction("filter(Formulas!$C:$C,Formulas!$A:$A=B249)"),"""formula"":[{""sku"":""1009"",""req"":1}]")</f>
        <v>"formula":[{"sku":"1009","req":1}]</v>
      </c>
      <c r="G249" s="0" t="n">
        <f aca="false">IFERROR(__xludf.dummyfunction("""COMPUTED_VALUE"""),1.5)</f>
        <v>1.5</v>
      </c>
      <c r="H249" s="21" t="str">
        <f aca="false">IFERROR(__xludf.dummyfunction("IF(D249,filter(Productos!AC:AC,Productos!A:A=B249),)"),"fabrica")</f>
        <v>fabrica</v>
      </c>
      <c r="I249" s="24" t="str">
        <f aca="false">IFERROR(__xludf.dummyfunction("""COMPUTED_VALUE"""),"")</f>
        <v/>
      </c>
      <c r="K249" s="0" t="e">
        <f aca="false">IF(D249,"{""sku"":"""&amp;B249&amp;""", ""costo"":"&amp;C249&amp;", ""grupo"":"""&amp;A249&amp;""", ""lote"":"&amp;D249&amp;", ""tiempo"":"&amp;E249&amp;", "&amp;F249&amp;", ""vencimiento"":"&amp;G249&amp;IF(I249,", ""precio"":"&amp;I249,)&amp;", ""tipo"":"""&amp;H249&amp;"""},",)</f>
        <v>#VALUE!</v>
      </c>
    </row>
    <row r="250" customFormat="false" ht="13" hidden="false" customHeight="false" outlineLevel="0" collapsed="false">
      <c r="A250" s="16" t="n">
        <v>4</v>
      </c>
      <c r="B250" s="0" t="n">
        <f aca="false">IFERROR(__xludf.dummyfunction("""COMPUTED_VALUE"""),1210)</f>
        <v>1210</v>
      </c>
      <c r="C250" s="24" t="n">
        <f aca="false">IFERROR(__xludf.dummyfunction("""COMPUTED_VALUE"""),10)</f>
        <v>10</v>
      </c>
      <c r="D250" s="0" t="n">
        <f aca="false">IFERROR(__xludf.dummyfunction("""COMPUTED_VALUE"""),9)</f>
        <v>9</v>
      </c>
      <c r="E250" s="0" t="n">
        <f aca="false">IFERROR(__xludf.dummyfunction("""COMPUTED_VALUE"""),10)</f>
        <v>10</v>
      </c>
      <c r="F250" s="0" t="str">
        <f aca="false">IFERROR(__xludf.dummyfunction("filter(Formulas!$C:$C,Formulas!$A:$A=B250)"),"""formula"":[{""sku"":""1010"",""req"":1}]")</f>
        <v>"formula":[{"sku":"1010","req":1}]</v>
      </c>
      <c r="G250" s="0" t="n">
        <f aca="false">IFERROR(__xludf.dummyfunction("""COMPUTED_VALUE"""),2.3)</f>
        <v>2.3</v>
      </c>
      <c r="H250" s="21" t="str">
        <f aca="false">IFERROR(__xludf.dummyfunction("IF(D250,filter(Productos!AC:AC,Productos!A:A=B250),)"),"fabrica")</f>
        <v>fabrica</v>
      </c>
      <c r="I250" s="24" t="str">
        <f aca="false">IFERROR(__xludf.dummyfunction("""COMPUTED_VALUE"""),"")</f>
        <v/>
      </c>
      <c r="K250" s="0" t="e">
        <f aca="false">IF(D250,"{""sku"":"""&amp;B250&amp;""", ""costo"":"&amp;C250&amp;", ""grupo"":"""&amp;A250&amp;""", ""lote"":"&amp;D250&amp;", ""tiempo"":"&amp;E250&amp;", "&amp;F250&amp;", ""vencimiento"":"&amp;G250&amp;IF(I250,", ""precio"":"&amp;I250,)&amp;", ""tipo"":"""&amp;H250&amp;"""},",)</f>
        <v>#VALUE!</v>
      </c>
    </row>
    <row r="251" customFormat="false" ht="13" hidden="false" customHeight="false" outlineLevel="0" collapsed="false">
      <c r="A251" s="17" t="n">
        <v>4</v>
      </c>
      <c r="B251" s="0" t="n">
        <f aca="false">IFERROR(__xludf.dummyfunction("""COMPUTED_VALUE"""),1211)</f>
        <v>1211</v>
      </c>
      <c r="C251" s="24" t="n">
        <f aca="false">IFERROR(__xludf.dummyfunction("""COMPUTED_VALUE"""),10)</f>
        <v>10</v>
      </c>
      <c r="D251" s="0" t="n">
        <f aca="false">IFERROR(__xludf.dummyfunction("""COMPUTED_VALUE"""),10)</f>
        <v>10</v>
      </c>
      <c r="E251" s="0" t="n">
        <f aca="false">IFERROR(__xludf.dummyfunction("""COMPUTED_VALUE"""),10)</f>
        <v>10</v>
      </c>
      <c r="F251" s="0" t="str">
        <f aca="false">IFERROR(__xludf.dummyfunction("filter(Formulas!$C:$C,Formulas!$A:$A=B251)"),"""formula"":[{""sku"":""1111"",""req"":1}]")</f>
        <v>"formula":[{"sku":"1111","req":1}]</v>
      </c>
      <c r="G251" s="0" t="n">
        <f aca="false">IFERROR(__xludf.dummyfunction("""COMPUTED_VALUE"""),12)</f>
        <v>12</v>
      </c>
      <c r="H251" s="21" t="str">
        <f aca="false">IFERROR(__xludf.dummyfunction("IF(D251,filter(Productos!AC:AC,Productos!A:A=B251),)"),"fabrica")</f>
        <v>fabrica</v>
      </c>
      <c r="I251" s="24" t="str">
        <f aca="false">IFERROR(__xludf.dummyfunction("""COMPUTED_VALUE"""),"")</f>
        <v/>
      </c>
      <c r="K251" s="0" t="e">
        <f aca="false">IF(D251,"{""sku"":"""&amp;B251&amp;""", ""costo"":"&amp;C251&amp;", ""grupo"":"""&amp;A251&amp;""", ""lote"":"&amp;D251&amp;", ""tiempo"":"&amp;E251&amp;", "&amp;F251&amp;", ""vencimiento"":"&amp;G251&amp;IF(I251,", ""precio"":"&amp;I251,)&amp;", ""tipo"":"""&amp;H251&amp;"""},",)</f>
        <v>#VALUE!</v>
      </c>
    </row>
    <row r="252" customFormat="false" ht="13" hidden="false" customHeight="false" outlineLevel="0" collapsed="false">
      <c r="A252" s="16" t="n">
        <v>4</v>
      </c>
      <c r="B252" s="0" t="n">
        <f aca="false">IFERROR(__xludf.dummyfunction("""COMPUTED_VALUE"""),1215)</f>
        <v>1215</v>
      </c>
      <c r="C252" s="24" t="n">
        <f aca="false">IFERROR(__xludf.dummyfunction("""COMPUTED_VALUE"""),0)</f>
        <v>0</v>
      </c>
      <c r="D252" s="0" t="n">
        <f aca="false">IFERROR(__xludf.dummyfunction("""COMPUTED_VALUE"""),8)</f>
        <v>8</v>
      </c>
      <c r="E252" s="0" t="n">
        <f aca="false">IFERROR(__xludf.dummyfunction("""COMPUTED_VALUE"""),10)</f>
        <v>10</v>
      </c>
      <c r="F252" s="0" t="str">
        <f aca="false">IFERROR(__xludf.dummyfunction("filter(Formulas!$C:$C,Formulas!$A:$A=B252)"),"""formula"":[{""sku"":""1015"",""req"":4}]")</f>
        <v>"formula":[{"sku":"1015","req":4}]</v>
      </c>
      <c r="G252" s="0" t="n">
        <f aca="false">IFERROR(__xludf.dummyfunction("""COMPUTED_VALUE"""),3)</f>
        <v>3</v>
      </c>
      <c r="H252" s="21" t="str">
        <f aca="false">IFERROR(__xludf.dummyfunction("IF(D252,filter(Productos!AC:AC,Productos!A:A=B252),)"),"fabrica")</f>
        <v>fabrica</v>
      </c>
      <c r="I252" s="24" t="str">
        <f aca="false">IFERROR(__xludf.dummyfunction("""COMPUTED_VALUE"""),"")</f>
        <v/>
      </c>
      <c r="K252" s="0" t="e">
        <f aca="false">IF(D252,"{""sku"":"""&amp;B252&amp;""", ""costo"":"&amp;C252&amp;", ""grupo"":"""&amp;A252&amp;""", ""lote"":"&amp;D252&amp;", ""tiempo"":"&amp;E252&amp;", "&amp;F252&amp;", ""vencimiento"":"&amp;G252&amp;IF(I252,", ""precio"":"&amp;I252,)&amp;", ""tipo"":"""&amp;H252&amp;"""},",)</f>
        <v>#VALUE!</v>
      </c>
    </row>
    <row r="253" customFormat="false" ht="13" hidden="false" customHeight="false" outlineLevel="0" collapsed="false">
      <c r="A253" s="17" t="n">
        <v>4</v>
      </c>
      <c r="B253" s="0" t="n">
        <f aca="false">IFERROR(__xludf.dummyfunction("""COMPUTED_VALUE"""),1216)</f>
        <v>1216</v>
      </c>
      <c r="C253" s="24" t="n">
        <f aca="false">IFERROR(__xludf.dummyfunction("""COMPUTED_VALUE"""),10)</f>
        <v>10</v>
      </c>
      <c r="D253" s="0" t="n">
        <f aca="false">IFERROR(__xludf.dummyfunction("""COMPUTED_VALUE"""),10)</f>
        <v>10</v>
      </c>
      <c r="E253" s="0" t="n">
        <f aca="false">IFERROR(__xludf.dummyfunction("""COMPUTED_VALUE"""),30)</f>
        <v>30</v>
      </c>
      <c r="F253" s="0" t="str">
        <f aca="false">IFERROR(__xludf.dummyfunction("filter(Formulas!$C:$C,Formulas!$A:$A=B253)"),"""formula"":[{""sku"":""1016"",""req"":2}]")</f>
        <v>"formula":[{"sku":"1016","req":2}]</v>
      </c>
      <c r="G253" s="0" t="n">
        <f aca="false">IFERROR(__xludf.dummyfunction("""COMPUTED_VALUE"""),24)</f>
        <v>24</v>
      </c>
      <c r="H253" s="21" t="str">
        <f aca="false">IFERROR(__xludf.dummyfunction("IF(D253,filter(Productos!AC:AC,Productos!A:A=B253),)"),"fabrica")</f>
        <v>fabrica</v>
      </c>
      <c r="I253" s="0" t="str">
        <f aca="false">IFERROR(__xludf.dummyfunction("""COMPUTED_VALUE"""),"")</f>
        <v/>
      </c>
      <c r="K253" s="0" t="e">
        <f aca="false">IF(D253,"{""sku"":"""&amp;B253&amp;""", ""costo"":"&amp;C253&amp;", ""grupo"":"""&amp;A253&amp;""", ""lote"":"&amp;D253&amp;", ""tiempo"":"&amp;E253&amp;", "&amp;F253&amp;", ""vencimiento"":"&amp;G253&amp;IF(I253,", ""precio"":"&amp;I253,)&amp;", ""tipo"":"""&amp;H253&amp;"""},",)</f>
        <v>#VALUE!</v>
      </c>
    </row>
    <row r="254" customFormat="false" ht="13" hidden="false" customHeight="false" outlineLevel="0" collapsed="false">
      <c r="A254" s="16" t="n">
        <v>4</v>
      </c>
      <c r="B254" s="0" t="n">
        <f aca="false">IFERROR(__xludf.dummyfunction("""COMPUTED_VALUE"""),1301)</f>
        <v>1301</v>
      </c>
      <c r="C254" s="24" t="n">
        <f aca="false">IFERROR(__xludf.dummyfunction("""COMPUTED_VALUE"""),10)</f>
        <v>10</v>
      </c>
      <c r="D254" s="0" t="n">
        <f aca="false">IFERROR(__xludf.dummyfunction("""COMPUTED_VALUE"""),5)</f>
        <v>5</v>
      </c>
      <c r="E254" s="0" t="n">
        <f aca="false">IFERROR(__xludf.dummyfunction("""COMPUTED_VALUE"""),10)</f>
        <v>10</v>
      </c>
      <c r="F254" s="0" t="str">
        <f aca="false">IFERROR(__xludf.dummyfunction("filter(Formulas!$C:$C,Formulas!$A:$A=B254)"),"""formula"":[{""sku"":""1101"",""req"":1}]")</f>
        <v>"formula":[{"sku":"1101","req":1}]</v>
      </c>
      <c r="G254" s="0" t="n">
        <f aca="false">IFERROR(__xludf.dummyfunction("""COMPUTED_VALUE"""),2)</f>
        <v>2</v>
      </c>
      <c r="H254" s="21" t="str">
        <f aca="false">IFERROR(__xludf.dummyfunction("IF(D254,filter(Productos!AC:AC,Productos!A:A=B254),)"),"fabrica")</f>
        <v>fabrica</v>
      </c>
      <c r="I254" s="24" t="str">
        <f aca="false">IFERROR(__xludf.dummyfunction("""COMPUTED_VALUE"""),"")</f>
        <v/>
      </c>
      <c r="K254" s="0" t="e">
        <f aca="false">IF(D254,"{""sku"":"""&amp;B254&amp;""", ""costo"":"&amp;C254&amp;", ""grupo"":"""&amp;A254&amp;""", ""lote"":"&amp;D254&amp;", ""tiempo"":"&amp;E254&amp;", "&amp;F254&amp;", ""vencimiento"":"&amp;G254&amp;IF(I254,", ""precio"":"&amp;I254,)&amp;", ""tipo"":"""&amp;H254&amp;"""},",)</f>
        <v>#VALUE!</v>
      </c>
    </row>
    <row r="255" customFormat="false" ht="13" hidden="false" customHeight="false" outlineLevel="0" collapsed="false">
      <c r="A255" s="17" t="n">
        <v>4</v>
      </c>
      <c r="B255" s="0" t="n">
        <f aca="false">IFERROR(__xludf.dummyfunction("""COMPUTED_VALUE"""),1307)</f>
        <v>1307</v>
      </c>
      <c r="C255" s="24" t="n">
        <f aca="false">IFERROR(__xludf.dummyfunction("""COMPUTED_VALUE"""),50)</f>
        <v>50</v>
      </c>
      <c r="D255" s="0" t="n">
        <f aca="false">IFERROR(__xludf.dummyfunction("""COMPUTED_VALUE"""),11)</f>
        <v>11</v>
      </c>
      <c r="E255" s="0" t="n">
        <f aca="false">IFERROR(__xludf.dummyfunction("""COMPUTED_VALUE"""),30)</f>
        <v>30</v>
      </c>
      <c r="F255" s="0" t="str">
        <f aca="false">IFERROR(__xludf.dummyfunction("filter(Formulas!$C:$C,Formulas!$A:$A=B255)"),"""formula"":[{""sku"":""1007"",""req"":1}]")</f>
        <v>"formula":[{"sku":"1007","req":1}]</v>
      </c>
      <c r="G255" s="0" t="n">
        <f aca="false">IFERROR(__xludf.dummyfunction("""COMPUTED_VALUE"""),1.2)</f>
        <v>1.2</v>
      </c>
      <c r="H255" s="21" t="str">
        <f aca="false">IFERROR(__xludf.dummyfunction("IF(D255,filter(Productos!AC:AC,Productos!A:A=B255),)"),"fabrica")</f>
        <v>fabrica</v>
      </c>
      <c r="I255" s="24" t="str">
        <f aca="false">IFERROR(__xludf.dummyfunction("""COMPUTED_VALUE"""),"")</f>
        <v/>
      </c>
      <c r="K255" s="0" t="e">
        <f aca="false">IF(D255,"{""sku"":"""&amp;B255&amp;""", ""costo"":"&amp;C255&amp;", ""grupo"":"""&amp;A255&amp;""", ""lote"":"&amp;D255&amp;", ""tiempo"":"&amp;E255&amp;", "&amp;F255&amp;", ""vencimiento"":"&amp;G255&amp;IF(I255,", ""precio"":"&amp;I255,)&amp;", ""tipo"":"""&amp;H255&amp;"""},",)</f>
        <v>#VALUE!</v>
      </c>
    </row>
    <row r="256" customFormat="false" ht="13" hidden="false" customHeight="false" outlineLevel="0" collapsed="false">
      <c r="A256" s="16" t="n">
        <v>4</v>
      </c>
      <c r="B256" s="0" t="n">
        <f aca="false">IFERROR(__xludf.dummyfunction("""COMPUTED_VALUE"""),1309)</f>
        <v>1309</v>
      </c>
      <c r="C256" s="24" t="n">
        <f aca="false">IFERROR(__xludf.dummyfunction("""COMPUTED_VALUE"""),50)</f>
        <v>50</v>
      </c>
      <c r="D256" s="0" t="n">
        <f aca="false">IFERROR(__xludf.dummyfunction("""COMPUTED_VALUE"""),11)</f>
        <v>11</v>
      </c>
      <c r="E256" s="0" t="n">
        <f aca="false">IFERROR(__xludf.dummyfunction("""COMPUTED_VALUE"""),50)</f>
        <v>50</v>
      </c>
      <c r="F256" s="0" t="str">
        <f aca="false">IFERROR(__xludf.dummyfunction("filter(Formulas!$C:$C,Formulas!$A:$A=B256)"),"""formula"":[{""sku"":""1009"",""req"":1}]")</f>
        <v>"formula":[{"sku":"1009","req":1}]</v>
      </c>
      <c r="G256" s="0" t="n">
        <f aca="false">IFERROR(__xludf.dummyfunction("""COMPUTED_VALUE"""),1.2)</f>
        <v>1.2</v>
      </c>
      <c r="H256" s="21" t="str">
        <f aca="false">IFERROR(__xludf.dummyfunction("IF(D256,filter(Productos!AC:AC,Productos!A:A=B256),)"),"fabrica")</f>
        <v>fabrica</v>
      </c>
      <c r="I256" s="24" t="str">
        <f aca="false">IFERROR(__xludf.dummyfunction("""COMPUTED_VALUE"""),"")</f>
        <v/>
      </c>
      <c r="K256" s="0" t="e">
        <f aca="false">IF(D256,"{""sku"":"""&amp;B256&amp;""", ""costo"":"&amp;C256&amp;", ""grupo"":"""&amp;A256&amp;""", ""lote"":"&amp;D256&amp;", ""tiempo"":"&amp;E256&amp;", "&amp;F256&amp;", ""vencimiento"":"&amp;G256&amp;IF(I256,", ""precio"":"&amp;I256,)&amp;", ""tipo"":"""&amp;H256&amp;"""},",)</f>
        <v>#VALUE!</v>
      </c>
    </row>
    <row r="257" customFormat="false" ht="13" hidden="false" customHeight="false" outlineLevel="0" collapsed="false">
      <c r="A257" s="17" t="n">
        <v>4</v>
      </c>
      <c r="B257" s="0" t="n">
        <f aca="false">IFERROR(__xludf.dummyfunction("""COMPUTED_VALUE"""),1310)</f>
        <v>1310</v>
      </c>
      <c r="C257" s="24" t="n">
        <f aca="false">IFERROR(__xludf.dummyfunction("""COMPUTED_VALUE"""),10)</f>
        <v>10</v>
      </c>
      <c r="D257" s="0" t="n">
        <f aca="false">IFERROR(__xludf.dummyfunction("""COMPUTED_VALUE"""),12)</f>
        <v>12</v>
      </c>
      <c r="E257" s="0" t="n">
        <f aca="false">IFERROR(__xludf.dummyfunction("""COMPUTED_VALUE"""),10)</f>
        <v>10</v>
      </c>
      <c r="F257" s="0" t="str">
        <f aca="false">IFERROR(__xludf.dummyfunction("filter(Formulas!$C:$C,Formulas!$A:$A=B257)"),"""formula"":[{""sku"":""1010"",""req"":1}]")</f>
        <v>"formula":[{"sku":"1010","req":1}]</v>
      </c>
      <c r="G257" s="0" t="n">
        <f aca="false">IFERROR(__xludf.dummyfunction("""COMPUTED_VALUE"""),2)</f>
        <v>2</v>
      </c>
      <c r="H257" s="21" t="str">
        <f aca="false">IFERROR(__xludf.dummyfunction("IF(D257,filter(Productos!AC:AC,Productos!A:A=B257),)"),"fabrica")</f>
        <v>fabrica</v>
      </c>
      <c r="I257" s="24" t="str">
        <f aca="false">IFERROR(__xludf.dummyfunction("""COMPUTED_VALUE"""),"")</f>
        <v/>
      </c>
      <c r="K257" s="0" t="e">
        <f aca="false">IF(D257,"{""sku"":"""&amp;B257&amp;""", ""costo"":"&amp;C257&amp;", ""grupo"":"""&amp;A257&amp;""", ""lote"":"&amp;D257&amp;", ""tiempo"":"&amp;E257&amp;", "&amp;F257&amp;", ""vencimiento"":"&amp;G257&amp;IF(I257,", ""precio"":"&amp;I257,)&amp;", ""tipo"":"""&amp;H257&amp;"""},",)</f>
        <v>#VALUE!</v>
      </c>
    </row>
    <row r="258" customFormat="false" ht="13" hidden="false" customHeight="false" outlineLevel="0" collapsed="false">
      <c r="A258" s="16" t="n">
        <v>4</v>
      </c>
      <c r="B258" s="0" t="n">
        <f aca="false">IFERROR(__xludf.dummyfunction("""COMPUTED_VALUE"""),1407)</f>
        <v>1407</v>
      </c>
      <c r="C258" s="24" t="n">
        <f aca="false">IFERROR(__xludf.dummyfunction("""COMPUTED_VALUE"""),10)</f>
        <v>10</v>
      </c>
      <c r="D258" s="0" t="n">
        <f aca="false">IFERROR(__xludf.dummyfunction("""COMPUTED_VALUE"""),14)</f>
        <v>14</v>
      </c>
      <c r="E258" s="0" t="n">
        <f aca="false">IFERROR(__xludf.dummyfunction("""COMPUTED_VALUE"""),30)</f>
        <v>30</v>
      </c>
      <c r="F258" s="0" t="str">
        <f aca="false">IFERROR(__xludf.dummyfunction("filter(Formulas!$C:$C,Formulas!$A:$A=B258)"),"""formula"":[{""sku"":""1007"",""req"":1}]")</f>
        <v>"formula":[{"sku":"1007","req":1}]</v>
      </c>
      <c r="G258" s="0" t="n">
        <f aca="false">IFERROR(__xludf.dummyfunction("""COMPUTED_VALUE"""),2)</f>
        <v>2</v>
      </c>
      <c r="H258" s="21" t="str">
        <f aca="false">IFERROR(__xludf.dummyfunction("IF(D258,filter(Productos!AC:AC,Productos!A:A=B258),)"),"fabrica")</f>
        <v>fabrica</v>
      </c>
      <c r="I258" s="24" t="str">
        <f aca="false">IFERROR(__xludf.dummyfunction("""COMPUTED_VALUE"""),"")</f>
        <v/>
      </c>
      <c r="K258" s="0" t="e">
        <f aca="false">IF(D258,"{""sku"":"""&amp;B258&amp;""", ""costo"":"&amp;C258&amp;", ""grupo"":"""&amp;A258&amp;""", ""lote"":"&amp;D258&amp;", ""tiempo"":"&amp;E258&amp;", "&amp;F258&amp;", ""vencimiento"":"&amp;G258&amp;IF(I258,", ""precio"":"&amp;I258,)&amp;", ""tipo"":"""&amp;H258&amp;"""},",)</f>
        <v>#VALUE!</v>
      </c>
    </row>
    <row r="259" customFormat="false" ht="13" hidden="false" customHeight="false" outlineLevel="0" collapsed="false">
      <c r="A259" s="17" t="n">
        <v>4</v>
      </c>
      <c r="B259" s="0" t="n">
        <f aca="false">IFERROR(__xludf.dummyfunction("""COMPUTED_VALUE"""),10001)</f>
        <v>10001</v>
      </c>
      <c r="C259" s="24" t="n">
        <f aca="false">IFERROR(__xludf.dummyfunction("""COMPUTED_VALUE"""),10)</f>
        <v>10</v>
      </c>
      <c r="D259" s="0" t="n">
        <f aca="false">IFERROR(__xludf.dummyfunction("""COMPUTED_VALUE"""),1)</f>
        <v>1</v>
      </c>
      <c r="E259" s="0" t="n">
        <f aca="false">IFERROR(__xludf.dummyfunction("""COMPUTED_VALUE"""),10)</f>
        <v>10</v>
      </c>
      <c r="F259" s="0" t="str">
        <f aca="false">IFERROR(__xludf.dummyfunction("filter(Formulas!$C:$C,Formulas!$A:$A=B259)"),"""formula"":[{""sku"":""1201"",""req"":1},{""sku"":""1105"",""req"":1},{""sku"":""1210"",""req"":1},{""sku"":""1211"",""req"":1},{""sku"":""1116"",""req"":1}]")</f>
        <v>"formula":[{"sku":"1201","req":1},{"sku":"1105","req":1},{"sku":"1210","req":1},{"sku":"1211","req":1},{"sku":"1116","req":1}]</v>
      </c>
      <c r="G259" s="0" t="n">
        <f aca="false">IFERROR(__xludf.dummyfunction("""COMPUTED_VALUE"""),1)</f>
        <v>1</v>
      </c>
      <c r="H259" s="21" t="str">
        <f aca="false">IFERROR(__xludf.dummyfunction("IF(D259,filter(Productos!AC:AC,Productos!A:A=B259),)"),"cocina")</f>
        <v>cocina</v>
      </c>
      <c r="I259" s="24" t="n">
        <f aca="false">IFERROR(__xludf.dummyfunction("""COMPUTED_VALUE"""),4500)</f>
        <v>4500</v>
      </c>
      <c r="K259" s="0" t="str">
        <f aca="false">IF(D259,"{""sku"":"""&amp;B259&amp;""", ""costo"":"&amp;C259&amp;", ""grupo"":"""&amp;A259&amp;""", ""lote"":"&amp;D259&amp;", ""tiempo"":"&amp;E259&amp;", "&amp;F259&amp;", ""vencimiento"":"&amp;G259&amp;IF(I259,", ""precio"":"&amp;I259,)&amp;", ""tipo"":"""&amp;H259&amp;"""},",)</f>
        <v>{"sku":"10001", "costo":10, "grupo":"4", "lote":1, "tiempo":10, "formula":[{"sku":"1201","req":1},{"sku":"1105","req":1},{"sku":"1210","req":1},{"sku":"1211","req":1},{"sku":"1116","req":1}], "vencimiento":1, "precio":4500, "tipo":"cocina"},</v>
      </c>
    </row>
    <row r="260" customFormat="false" ht="13" hidden="false" customHeight="false" outlineLevel="0" collapsed="false">
      <c r="A260" s="16" t="n">
        <v>4</v>
      </c>
      <c r="B260" s="0" t="n">
        <f aca="false">IFERROR(__xludf.dummyfunction("""COMPUTED_VALUE"""),10002)</f>
        <v>10002</v>
      </c>
      <c r="C260" s="24" t="n">
        <f aca="false">IFERROR(__xludf.dummyfunction("""COMPUTED_VALUE"""),10)</f>
        <v>10</v>
      </c>
      <c r="D260" s="0" t="n">
        <f aca="false">IFERROR(__xludf.dummyfunction("""COMPUTED_VALUE"""),1)</f>
        <v>1</v>
      </c>
      <c r="E260" s="0" t="n">
        <f aca="false">IFERROR(__xludf.dummyfunction("""COMPUTED_VALUE"""),20)</f>
        <v>20</v>
      </c>
      <c r="F260" s="0" t="str">
        <f aca="false">IFERROR(__xludf.dummyfunction("filter(Formulas!$C:$C,Formulas!$A:$A=B260)"),"""formula"":[{""sku"":""1201"",""req"":1},{""sku"":""1105"",""req"":1},{""sku"":""1013"",""req"":5},{""sku"":""1210"",""req"":1},{""sku"":""1116"",""req"":1}]")</f>
        <v>"formula":[{"sku":"1201","req":1},{"sku":"1105","req":1},{"sku":"1013","req":5},{"sku":"1210","req":1},{"sku":"1116","req":1}]</v>
      </c>
      <c r="G260" s="0" t="n">
        <f aca="false">IFERROR(__xludf.dummyfunction("""COMPUTED_VALUE"""),1)</f>
        <v>1</v>
      </c>
      <c r="H260" s="21" t="str">
        <f aca="false">IFERROR(__xludf.dummyfunction("IF(D260,filter(Productos!AC:AC,Productos!A:A=B260),)"),"cocina")</f>
        <v>cocina</v>
      </c>
      <c r="I260" s="24" t="n">
        <f aca="false">IFERROR(__xludf.dummyfunction("""COMPUTED_VALUE"""),4500)</f>
        <v>4500</v>
      </c>
      <c r="K260" s="0" t="str">
        <f aca="false">IF(D260,"{""sku"":"""&amp;B260&amp;""", ""costo"":"&amp;C260&amp;", ""grupo"":"""&amp;A260&amp;""", ""lote"":"&amp;D260&amp;", ""tiempo"":"&amp;E260&amp;", "&amp;F260&amp;", ""vencimiento"":"&amp;G260&amp;IF(I260,", ""precio"":"&amp;I260,)&amp;", ""tipo"":"""&amp;H260&amp;"""},",)</f>
        <v>{"sku":"10002", "costo":10, "grupo":"4", "lote":1, "tiempo":20, "formula":[{"sku":"1201","req":1},{"sku":"1105","req":1},{"sku":"1013","req":5},{"sku":"1210","req":1},{"sku":"1116","req":1}], "vencimiento":1, "precio":4500, "tipo":"cocina"},</v>
      </c>
    </row>
    <row r="261" customFormat="false" ht="13" hidden="false" customHeight="false" outlineLevel="0" collapsed="false">
      <c r="A261" s="17" t="n">
        <v>4</v>
      </c>
      <c r="B261" s="0" t="n">
        <f aca="false">IFERROR(__xludf.dummyfunction("""COMPUTED_VALUE"""),10003)</f>
        <v>10003</v>
      </c>
      <c r="C261" s="24" t="n">
        <f aca="false">IFERROR(__xludf.dummyfunction("""COMPUTED_VALUE"""),10)</f>
        <v>10</v>
      </c>
      <c r="D261" s="0" t="n">
        <f aca="false">IFERROR(__xludf.dummyfunction("""COMPUTED_VALUE"""),1)</f>
        <v>1</v>
      </c>
      <c r="E261" s="0" t="n">
        <f aca="false">IFERROR(__xludf.dummyfunction("""COMPUTED_VALUE"""),30)</f>
        <v>30</v>
      </c>
      <c r="F261" s="0" t="str">
        <f aca="false">IFERROR(__xludf.dummyfunction("filter(Formulas!$C:$C,Formulas!$A:$A=B261)"),"""formula"":[{""sku"":""1201"",""req"":1},{""sku"":""1105"",""req"":1},{""sku"":""1013"",""req"":5},{""sku"":""1210"",""req"":1},{""sku"":""1211"",""req"":1},{""sku"":""1116"",""req"":1}]")</f>
        <v>"formula":[{"sku":"1201","req":1},{"sku":"1105","req":1},{"sku":"1013","req":5},{"sku":"1210","req":1},{"sku":"1211","req":1},{"sku":"1116","req":1}]</v>
      </c>
      <c r="G261" s="0" t="n">
        <f aca="false">IFERROR(__xludf.dummyfunction("""COMPUTED_VALUE"""),1)</f>
        <v>1</v>
      </c>
      <c r="H261" s="21" t="str">
        <f aca="false">IFERROR(__xludf.dummyfunction("IF(D261,filter(Productos!AC:AC,Productos!A:A=B261),)"),"cocina")</f>
        <v>cocina</v>
      </c>
      <c r="I261" s="24" t="n">
        <f aca="false">IFERROR(__xludf.dummyfunction("""COMPUTED_VALUE"""),4700)</f>
        <v>4700</v>
      </c>
      <c r="K261" s="0" t="str">
        <f aca="false">IF(D261,"{""sku"":"""&amp;B261&amp;""", ""costo"":"&amp;C261&amp;", ""grupo"":"""&amp;A261&amp;""", ""lote"":"&amp;D261&amp;", ""tiempo"":"&amp;E261&amp;", "&amp;F261&amp;", ""vencimiento"":"&amp;G261&amp;IF(I261,", ""precio"":"&amp;I261,)&amp;", ""tipo"":"""&amp;H261&amp;"""},",)</f>
        <v>{"sku":"10003", "costo":10, "grupo":"4", "lote":1, "tiempo":30, "formula":[{"sku":"1201","req":1},{"sku":"1105","req":1},{"sku":"1013","req":5},{"sku":"1210","req":1},{"sku":"1211","req":1},{"sku":"1116","req":1}], "vencimiento":1, "precio":4700, "tipo":"cocina"},</v>
      </c>
    </row>
    <row r="262" customFormat="false" ht="13" hidden="false" customHeight="false" outlineLevel="0" collapsed="false">
      <c r="A262" s="16" t="n">
        <v>4</v>
      </c>
      <c r="B262" s="0" t="n">
        <f aca="false">IFERROR(__xludf.dummyfunction("""COMPUTED_VALUE"""),10004)</f>
        <v>10004</v>
      </c>
      <c r="C262" s="24" t="n">
        <f aca="false">IFERROR(__xludf.dummyfunction("""COMPUTED_VALUE"""),10)</f>
        <v>10</v>
      </c>
      <c r="D262" s="0" t="n">
        <f aca="false">IFERROR(__xludf.dummyfunction("""COMPUTED_VALUE"""),1)</f>
        <v>1</v>
      </c>
      <c r="E262" s="0" t="n">
        <f aca="false">IFERROR(__xludf.dummyfunction("""COMPUTED_VALUE"""),10)</f>
        <v>10</v>
      </c>
      <c r="F262" s="0" t="str">
        <f aca="false">IFERROR(__xludf.dummyfunction("filter(Formulas!$C:$C,Formulas!$A:$A=B262)"),"""formula"":[{""sku"":""1201"",""req"":1},{""sku"":""1106"",""req"":4},{""sku"":""1210"",""req"":1},{""sku"":""1211"",""req"":1},{""sku"":""1116"",""req"":1}]")</f>
        <v>"formula":[{"sku":"1201","req":1},{"sku":"1106","req":4},{"sku":"1210","req":1},{"sku":"1211","req":1},{"sku":"1116","req":1}]</v>
      </c>
      <c r="G262" s="0" t="n">
        <f aca="false">IFERROR(__xludf.dummyfunction("""COMPUTED_VALUE"""),1)</f>
        <v>1</v>
      </c>
      <c r="H262" s="21" t="str">
        <f aca="false">IFERROR(__xludf.dummyfunction("IF(D262,filter(Productos!AC:AC,Productos!A:A=B262),)"),"cocina")</f>
        <v>cocina</v>
      </c>
      <c r="I262" s="24" t="n">
        <f aca="false">IFERROR(__xludf.dummyfunction("""COMPUTED_VALUE"""),4700)</f>
        <v>4700</v>
      </c>
      <c r="K262" s="0" t="str">
        <f aca="false">IF(D262,"{""sku"":"""&amp;B262&amp;""", ""costo"":"&amp;C262&amp;", ""grupo"":"""&amp;A262&amp;""", ""lote"":"&amp;D262&amp;", ""tiempo"":"&amp;E262&amp;", "&amp;F262&amp;", ""vencimiento"":"&amp;G262&amp;IF(I262,", ""precio"":"&amp;I262,)&amp;", ""tipo"":"""&amp;H262&amp;"""},",)</f>
        <v>{"sku":"10004", "costo":10, "grupo":"4", "lote":1, "tiempo":10, "formula":[{"sku":"1201","req":1},{"sku":"1106","req":4},{"sku":"1210","req":1},{"sku":"1211","req":1},{"sku":"1116","req":1}], "vencimiento":1, "precio":4700, "tipo":"cocina"},</v>
      </c>
    </row>
    <row r="263" customFormat="false" ht="13" hidden="false" customHeight="false" outlineLevel="0" collapsed="false">
      <c r="A263" s="17" t="n">
        <v>4</v>
      </c>
      <c r="B263" s="0" t="n">
        <f aca="false">IFERROR(__xludf.dummyfunction("""COMPUTED_VALUE"""),10005)</f>
        <v>10005</v>
      </c>
      <c r="C263" s="24" t="n">
        <f aca="false">IFERROR(__xludf.dummyfunction("""COMPUTED_VALUE"""),10)</f>
        <v>10</v>
      </c>
      <c r="D263" s="0" t="n">
        <f aca="false">IFERROR(__xludf.dummyfunction("""COMPUTED_VALUE"""),1)</f>
        <v>1</v>
      </c>
      <c r="E263" s="0" t="n">
        <f aca="false">IFERROR(__xludf.dummyfunction("""COMPUTED_VALUE"""),20)</f>
        <v>20</v>
      </c>
      <c r="F263" s="0" t="str">
        <f aca="false">IFERROR(__xludf.dummyfunction("filter(Formulas!$C:$C,Formulas!$A:$A=B263)"),"""formula"":[{""sku"":""1201"",""req"":1},{""sku"":""1106"",""req"":4},{""sku"":""1013"",""req"":5},{""sku"":""1210"",""req"":1},{""sku"":""1116"",""req"":1}]")</f>
        <v>"formula":[{"sku":"1201","req":1},{"sku":"1106","req":4},{"sku":"1013","req":5},{"sku":"1210","req":1},{"sku":"1116","req":1}]</v>
      </c>
      <c r="G263" s="0" t="n">
        <f aca="false">IFERROR(__xludf.dummyfunction("""COMPUTED_VALUE"""),1)</f>
        <v>1</v>
      </c>
      <c r="H263" s="21" t="str">
        <f aca="false">IFERROR(__xludf.dummyfunction("IF(D263,filter(Productos!AC:AC,Productos!A:A=B263),)"),"cocina")</f>
        <v>cocina</v>
      </c>
      <c r="I263" s="24" t="n">
        <f aca="false">IFERROR(__xludf.dummyfunction("""COMPUTED_VALUE"""),4700)</f>
        <v>4700</v>
      </c>
      <c r="K263" s="0" t="str">
        <f aca="false">IF(D263,"{""sku"":"""&amp;B263&amp;""", ""costo"":"&amp;C263&amp;", ""grupo"":"""&amp;A263&amp;""", ""lote"":"&amp;D263&amp;", ""tiempo"":"&amp;E263&amp;", "&amp;F263&amp;", ""vencimiento"":"&amp;G263&amp;IF(I263,", ""precio"":"&amp;I263,)&amp;", ""tipo"":"""&amp;H263&amp;"""},",)</f>
        <v>{"sku":"10005", "costo":10, "grupo":"4", "lote":1, "tiempo":20, "formula":[{"sku":"1201","req":1},{"sku":"1106","req":4},{"sku":"1013","req":5},{"sku":"1210","req":1},{"sku":"1116","req":1}], "vencimiento":1, "precio":4700, "tipo":"cocina"},</v>
      </c>
    </row>
    <row r="264" customFormat="false" ht="13" hidden="false" customHeight="false" outlineLevel="0" collapsed="false">
      <c r="A264" s="16" t="n">
        <v>4</v>
      </c>
      <c r="B264" s="0" t="n">
        <f aca="false">IFERROR(__xludf.dummyfunction("""COMPUTED_VALUE"""),10006)</f>
        <v>10006</v>
      </c>
      <c r="C264" s="24" t="n">
        <f aca="false">IFERROR(__xludf.dummyfunction("""COMPUTED_VALUE"""),10)</f>
        <v>10</v>
      </c>
      <c r="D264" s="0" t="n">
        <f aca="false">IFERROR(__xludf.dummyfunction("""COMPUTED_VALUE"""),1)</f>
        <v>1</v>
      </c>
      <c r="E264" s="0" t="n">
        <f aca="false">IFERROR(__xludf.dummyfunction("""COMPUTED_VALUE"""),10)</f>
        <v>10</v>
      </c>
      <c r="F264" s="0" t="str">
        <f aca="false">IFERROR(__xludf.dummyfunction("filter(Formulas!$C:$C,Formulas!$A:$A=B264)"),"""formula"":[{""sku"":""1201"",""req"":1},{""sku"":""1210"",""req"":1},{""sku"":""1107"",""req"":1},{""sku"":""1211"",""req"":1},{""sku"":""1116"",""req"":1}]")</f>
        <v>"formula":[{"sku":"1201","req":1},{"sku":"1210","req":1},{"sku":"1107","req":1},{"sku":"1211","req":1},{"sku":"1116","req":1}]</v>
      </c>
      <c r="G264" s="0" t="n">
        <f aca="false">IFERROR(__xludf.dummyfunction("""COMPUTED_VALUE"""),1)</f>
        <v>1</v>
      </c>
      <c r="H264" s="21" t="str">
        <f aca="false">IFERROR(__xludf.dummyfunction("IF(D264,filter(Productos!AC:AC,Productos!A:A=B264),)"),"cocina")</f>
        <v>cocina</v>
      </c>
      <c r="I264" s="24" t="n">
        <f aca="false">IFERROR(__xludf.dummyfunction("""COMPUTED_VALUE"""),4900)</f>
        <v>4900</v>
      </c>
      <c r="K264" s="0" t="str">
        <f aca="false">IF(D264,"{""sku"":"""&amp;B264&amp;""", ""costo"":"&amp;C264&amp;", ""grupo"":"""&amp;A264&amp;""", ""lote"":"&amp;D264&amp;", ""tiempo"":"&amp;E264&amp;", "&amp;F264&amp;", ""vencimiento"":"&amp;G264&amp;IF(I264,", ""precio"":"&amp;I264,)&amp;", ""tipo"":"""&amp;H264&amp;"""},",)</f>
        <v>{"sku":"10006", "costo":10, "grupo":"4", "lote":1, "tiempo":10, "formula":[{"sku":"1201","req":1},{"sku":"1210","req":1},{"sku":"1107","req":1},{"sku":"1211","req":1},{"sku":"1116","req":1}], "vencimiento":1, "precio":4900, "tipo":"cocina"},</v>
      </c>
    </row>
    <row r="265" customFormat="false" ht="13" hidden="false" customHeight="false" outlineLevel="0" collapsed="false">
      <c r="A265" s="17" t="n">
        <v>4</v>
      </c>
      <c r="B265" s="0" t="n">
        <f aca="false">IFERROR(__xludf.dummyfunction("""COMPUTED_VALUE"""),10007)</f>
        <v>10007</v>
      </c>
      <c r="C265" s="24" t="n">
        <f aca="false">IFERROR(__xludf.dummyfunction("""COMPUTED_VALUE"""),10)</f>
        <v>10</v>
      </c>
      <c r="D265" s="0" t="n">
        <f aca="false">IFERROR(__xludf.dummyfunction("""COMPUTED_VALUE"""),1)</f>
        <v>1</v>
      </c>
      <c r="E265" s="0" t="n">
        <f aca="false">IFERROR(__xludf.dummyfunction("""COMPUTED_VALUE"""),20)</f>
        <v>20</v>
      </c>
      <c r="F265" s="0" t="str">
        <f aca="false">IFERROR(__xludf.dummyfunction("filter(Formulas!$C:$C,Formulas!$A:$A=B265)"),"""formula"":[{""sku"":""1201"",""req"":1},{""sku"":""1013"",""req"":5},{""sku"":""1210"",""req"":1},{""sku"":""1107"",""req"":1},{""sku"":""1116"",""req"":1}]")</f>
        <v>"formula":[{"sku":"1201","req":1},{"sku":"1013","req":5},{"sku":"1210","req":1},{"sku":"1107","req":1},{"sku":"1116","req":1}]</v>
      </c>
      <c r="G265" s="0" t="n">
        <f aca="false">IFERROR(__xludf.dummyfunction("""COMPUTED_VALUE"""),1)</f>
        <v>1</v>
      </c>
      <c r="H265" s="21" t="str">
        <f aca="false">IFERROR(__xludf.dummyfunction("IF(D265,filter(Productos!AC:AC,Productos!A:A=B265),)"),"cocina")</f>
        <v>cocina</v>
      </c>
      <c r="I265" s="24" t="n">
        <f aca="false">IFERROR(__xludf.dummyfunction("""COMPUTED_VALUE"""),4900)</f>
        <v>4900</v>
      </c>
      <c r="K265" s="0" t="str">
        <f aca="false">IF(D265,"{""sku"":"""&amp;B265&amp;""", ""costo"":"&amp;C265&amp;", ""grupo"":"""&amp;A265&amp;""", ""lote"":"&amp;D265&amp;", ""tiempo"":"&amp;E265&amp;", "&amp;F265&amp;", ""vencimiento"":"&amp;G265&amp;IF(I265,", ""precio"":"&amp;I265,)&amp;", ""tipo"":"""&amp;H265&amp;"""},",)</f>
        <v>{"sku":"10007", "costo":10, "grupo":"4", "lote":1, "tiempo":20, "formula":[{"sku":"1201","req":1},{"sku":"1013","req":5},{"sku":"1210","req":1},{"sku":"1107","req":1},{"sku":"1116","req":1}], "vencimiento":1, "precio":4900, "tipo":"cocina"},</v>
      </c>
    </row>
    <row r="266" customFormat="false" ht="13" hidden="false" customHeight="false" outlineLevel="0" collapsed="false">
      <c r="A266" s="16" t="n">
        <v>4</v>
      </c>
      <c r="B266" s="0" t="n">
        <f aca="false">IFERROR(__xludf.dummyfunction("""COMPUTED_VALUE"""),10008)</f>
        <v>10008</v>
      </c>
      <c r="C266" s="24" t="n">
        <f aca="false">IFERROR(__xludf.dummyfunction("""COMPUTED_VALUE"""),10)</f>
        <v>10</v>
      </c>
      <c r="D266" s="0" t="n">
        <f aca="false">IFERROR(__xludf.dummyfunction("""COMPUTED_VALUE"""),1)</f>
        <v>1</v>
      </c>
      <c r="E266" s="0" t="n">
        <f aca="false">IFERROR(__xludf.dummyfunction("""COMPUTED_VALUE"""),20)</f>
        <v>20</v>
      </c>
      <c r="F266" s="0" t="str">
        <f aca="false">IFERROR(__xludf.dummyfunction("filter(Formulas!$C:$C,Formulas!$A:$A=B266)"),"""formula"":[{""sku"":""1201"",""req"":1},{""sku"":""1109"",""req"":1},{""sku"":""1210"",""req"":1},{""sku"":""1211"",""req"":1},{""sku"":""1116"",""req"":1}]")</f>
        <v>"formula":[{"sku":"1201","req":1},{"sku":"1109","req":1},{"sku":"1210","req":1},{"sku":"1211","req":1},{"sku":"1116","req":1}]</v>
      </c>
      <c r="G266" s="0" t="n">
        <f aca="false">IFERROR(__xludf.dummyfunction("""COMPUTED_VALUE"""),1)</f>
        <v>1</v>
      </c>
      <c r="H266" s="21" t="str">
        <f aca="false">IFERROR(__xludf.dummyfunction("IF(D266,filter(Productos!AC:AC,Productos!A:A=B266),)"),"cocina")</f>
        <v>cocina</v>
      </c>
      <c r="I266" s="24" t="n">
        <f aca="false">IFERROR(__xludf.dummyfunction("""COMPUTED_VALUE"""),4900)</f>
        <v>4900</v>
      </c>
      <c r="K266" s="0" t="str">
        <f aca="false">IF(D266,"{""sku"":"""&amp;B266&amp;""", ""costo"":"&amp;C266&amp;", ""grupo"":"""&amp;A266&amp;""", ""lote"":"&amp;D266&amp;", ""tiempo"":"&amp;E266&amp;", "&amp;F266&amp;", ""vencimiento"":"&amp;G266&amp;IF(I266,", ""precio"":"&amp;I266,)&amp;", ""tipo"":"""&amp;H266&amp;"""},",)</f>
        <v>{"sku":"10008", "costo":10, "grupo":"4", "lote":1, "tiempo":20, "formula":[{"sku":"1201","req":1},{"sku":"1109","req":1},{"sku":"1210","req":1},{"sku":"1211","req":1},{"sku":"1116","req":1}], "vencimiento":1, "precio":4900, "tipo":"cocina"},</v>
      </c>
    </row>
    <row r="267" customFormat="false" ht="13" hidden="false" customHeight="false" outlineLevel="0" collapsed="false">
      <c r="A267" s="17" t="n">
        <v>4</v>
      </c>
      <c r="B267" s="0" t="n">
        <f aca="false">IFERROR(__xludf.dummyfunction("""COMPUTED_VALUE"""),10009)</f>
        <v>10009</v>
      </c>
      <c r="C267" s="24" t="n">
        <f aca="false">IFERROR(__xludf.dummyfunction("""COMPUTED_VALUE"""),10)</f>
        <v>10</v>
      </c>
      <c r="D267" s="0" t="n">
        <f aca="false">IFERROR(__xludf.dummyfunction("""COMPUTED_VALUE"""),1)</f>
        <v>1</v>
      </c>
      <c r="E267" s="0" t="n">
        <f aca="false">IFERROR(__xludf.dummyfunction("""COMPUTED_VALUE"""),30)</f>
        <v>30</v>
      </c>
      <c r="F267" s="0" t="str">
        <f aca="false">IFERROR(__xludf.dummyfunction("filter(Formulas!$C:$C,Formulas!$A:$A=B267)"),"""formula"":[{""sku"":""1201"",""req"":1},{""sku"":""1109"",""req"":1},{""sku"":""1013"",""req"":5},{""sku"":""1210"",""req"":1},{""sku"":""1116"",""req"":1}]")</f>
        <v>"formula":[{"sku":"1201","req":1},{"sku":"1109","req":1},{"sku":"1013","req":5},{"sku":"1210","req":1},{"sku":"1116","req":1}]</v>
      </c>
      <c r="G267" s="0" t="n">
        <f aca="false">IFERROR(__xludf.dummyfunction("""COMPUTED_VALUE"""),1)</f>
        <v>1</v>
      </c>
      <c r="H267" s="21" t="str">
        <f aca="false">IFERROR(__xludf.dummyfunction("IF(D267,filter(Productos!AC:AC,Productos!A:A=B267),)"),"cocina")</f>
        <v>cocina</v>
      </c>
      <c r="I267" s="24" t="n">
        <f aca="false">IFERROR(__xludf.dummyfunction("""COMPUTED_VALUE"""),4900)</f>
        <v>4900</v>
      </c>
      <c r="K267" s="0" t="str">
        <f aca="false">IF(D267,"{""sku"":"""&amp;B267&amp;""", ""costo"":"&amp;C267&amp;", ""grupo"":"""&amp;A267&amp;""", ""lote"":"&amp;D267&amp;", ""tiempo"":"&amp;E267&amp;", "&amp;F267&amp;", ""vencimiento"":"&amp;G267&amp;IF(I267,", ""precio"":"&amp;I267,)&amp;", ""tipo"":"""&amp;H267&amp;"""},",)</f>
        <v>{"sku":"10009", "costo":10, "grupo":"4", "lote":1, "tiempo":30, "formula":[{"sku":"1201","req":1},{"sku":"1109","req":1},{"sku":"1013","req":5},{"sku":"1210","req":1},{"sku":"1116","req":1}], "vencimiento":1, "precio":4900, "tipo":"cocina"},</v>
      </c>
    </row>
    <row r="268" customFormat="false" ht="13" hidden="false" customHeight="false" outlineLevel="0" collapsed="false">
      <c r="A268" s="16" t="n">
        <v>4</v>
      </c>
      <c r="B268" s="0" t="n">
        <f aca="false">IFERROR(__xludf.dummyfunction("""COMPUTED_VALUE"""),10010)</f>
        <v>10010</v>
      </c>
      <c r="C268" s="24" t="n">
        <f aca="false">IFERROR(__xludf.dummyfunction("""COMPUTED_VALUE"""),10)</f>
        <v>10</v>
      </c>
      <c r="D268" s="0" t="n">
        <f aca="false">IFERROR(__xludf.dummyfunction("""COMPUTED_VALUE"""),1)</f>
        <v>1</v>
      </c>
      <c r="E268" s="0" t="n">
        <f aca="false">IFERROR(__xludf.dummyfunction("""COMPUTED_VALUE"""),10)</f>
        <v>10</v>
      </c>
      <c r="F268" s="0" t="str">
        <f aca="false">IFERROR(__xludf.dummyfunction("filter(Formulas!$C:$C,Formulas!$A:$A=B268)"),"""formula"":[{""sku"":""1201"",""req"":1},{""sku"":""1106"",""req"":4},{""sku"":""1210"",""req"":1},{""sku"":""1110"",""req"":1},{""sku"":""1116"",""req"":1}]")</f>
        <v>"formula":[{"sku":"1201","req":1},{"sku":"1106","req":4},{"sku":"1210","req":1},{"sku":"1110","req":1},{"sku":"1116","req":1}]</v>
      </c>
      <c r="G268" s="0" t="n">
        <f aca="false">IFERROR(__xludf.dummyfunction("""COMPUTED_VALUE"""),1)</f>
        <v>1</v>
      </c>
      <c r="H268" s="21" t="str">
        <f aca="false">IFERROR(__xludf.dummyfunction("IF(D268,filter(Productos!AC:AC,Productos!A:A=B268),)"),"cocina")</f>
        <v>cocina</v>
      </c>
      <c r="I268" s="24" t="n">
        <f aca="false">IFERROR(__xludf.dummyfunction("""COMPUTED_VALUE"""),4900)</f>
        <v>4900</v>
      </c>
      <c r="K268" s="0" t="str">
        <f aca="false">IF(D268,"{""sku"":"""&amp;B268&amp;""", ""costo"":"&amp;C268&amp;", ""grupo"":"""&amp;A268&amp;""", ""lote"":"&amp;D268&amp;", ""tiempo"":"&amp;E268&amp;", "&amp;F268&amp;", ""vencimiento"":"&amp;G268&amp;IF(I268,", ""precio"":"&amp;I268,)&amp;", ""tipo"":"""&amp;H268&amp;"""},",)</f>
        <v>{"sku":"10010", "costo":10, "grupo":"4", "lote":1, "tiempo":10, "formula":[{"sku":"1201","req":1},{"sku":"1106","req":4},{"sku":"1210","req":1},{"sku":"1110","req":1},{"sku":"1116","req":1}], "vencimiento":1, "precio":4900, "tipo":"cocina"},</v>
      </c>
    </row>
    <row r="269" customFormat="false" ht="13" hidden="false" customHeight="false" outlineLevel="0" collapsed="false">
      <c r="A269" s="17" t="n">
        <v>4</v>
      </c>
      <c r="B269" s="0" t="n">
        <f aca="false">IFERROR(__xludf.dummyfunction("""COMPUTED_VALUE"""),10011)</f>
        <v>10011</v>
      </c>
      <c r="C269" s="24" t="n">
        <f aca="false">IFERROR(__xludf.dummyfunction("""COMPUTED_VALUE"""),10)</f>
        <v>10</v>
      </c>
      <c r="D269" s="0" t="n">
        <f aca="false">IFERROR(__xludf.dummyfunction("""COMPUTED_VALUE"""),1)</f>
        <v>1</v>
      </c>
      <c r="E269" s="0" t="n">
        <f aca="false">IFERROR(__xludf.dummyfunction("""COMPUTED_VALUE"""),20)</f>
        <v>20</v>
      </c>
      <c r="F269" s="0" t="str">
        <f aca="false">IFERROR(__xludf.dummyfunction("filter(Formulas!$C:$C,Formulas!$A:$A=B269)"),"""formula"":[{""sku"":""1201"",""req"":1},{""sku"":""1106"",""req"":4},{""sku"":""1114"",""req"":1},{""sku"":""1110"",""req"":1},{""sku"":""1112"",""req"":1},{""sku"":""1116"",""req"":1}]")</f>
        <v>"formula":[{"sku":"1201","req":1},{"sku":"1106","req":4},{"sku":"1114","req":1},{"sku":"1110","req":1},{"sku":"1112","req":1},{"sku":"1116","req":1}]</v>
      </c>
      <c r="G269" s="0" t="n">
        <f aca="false">IFERROR(__xludf.dummyfunction("""COMPUTED_VALUE"""),1)</f>
        <v>1</v>
      </c>
      <c r="H269" s="21" t="str">
        <f aca="false">IFERROR(__xludf.dummyfunction("IF(D269,filter(Productos!AC:AC,Productos!A:A=B269),)"),"cocina")</f>
        <v>cocina</v>
      </c>
      <c r="I269" s="24" t="n">
        <f aca="false">IFERROR(__xludf.dummyfunction("""COMPUTED_VALUE"""),5700)</f>
        <v>5700</v>
      </c>
      <c r="K269" s="0" t="str">
        <f aca="false">IF(D269,"{""sku"":"""&amp;B269&amp;""", ""costo"":"&amp;C269&amp;", ""grupo"":"""&amp;A269&amp;""", ""lote"":"&amp;D269&amp;", ""tiempo"":"&amp;E269&amp;", "&amp;F269&amp;", ""vencimiento"":"&amp;G269&amp;IF(I269,", ""precio"":"&amp;I269,)&amp;", ""tipo"":"""&amp;H269&amp;"""},",)</f>
        <v>{"sku":"10011", "costo":10, "grupo":"4", "lote":1, "tiempo":20, "formula":[{"sku":"1201","req":1},{"sku":"1106","req":4},{"sku":"1114","req":1},{"sku":"1110","req":1},{"sku":"1112","req":1},{"sku":"1116","req":1}], "vencimiento":1, "precio":5700, "tipo":"cocina"},</v>
      </c>
    </row>
    <row r="270" customFormat="false" ht="13" hidden="false" customHeight="false" outlineLevel="0" collapsed="false">
      <c r="A270" s="16" t="n">
        <v>4</v>
      </c>
      <c r="B270" s="0" t="n">
        <f aca="false">IFERROR(__xludf.dummyfunction("""COMPUTED_VALUE"""),10012)</f>
        <v>10012</v>
      </c>
      <c r="C270" s="24" t="n">
        <f aca="false">IFERROR(__xludf.dummyfunction("""COMPUTED_VALUE"""),10)</f>
        <v>10</v>
      </c>
      <c r="D270" s="0" t="n">
        <f aca="false">IFERROR(__xludf.dummyfunction("""COMPUTED_VALUE"""),1)</f>
        <v>1</v>
      </c>
      <c r="E270" s="0" t="n">
        <f aca="false">IFERROR(__xludf.dummyfunction("""COMPUTED_VALUE"""),20)</f>
        <v>20</v>
      </c>
      <c r="F270" s="0" t="str">
        <f aca="false">IFERROR(__xludf.dummyfunction("filter(Formulas!$C:$C,Formulas!$A:$A=B270)"),"""formula"":[{""sku"":""1201"",""req"":1},{""sku"":""1106"",""req"":4},{""sku"":""1110"",""req"":1},{""sku"":""1112"",""req"":1},{""sku"":""1108"",""req"":1},{""sku"":""1116"",""req"":1}]")</f>
        <v>"formula":[{"sku":"1201","req":1},{"sku":"1106","req":4},{"sku":"1110","req":1},{"sku":"1112","req":1},{"sku":"1108","req":1},{"sku":"1116","req":1}]</v>
      </c>
      <c r="G270" s="0" t="n">
        <f aca="false">IFERROR(__xludf.dummyfunction("""COMPUTED_VALUE"""),1)</f>
        <v>1</v>
      </c>
      <c r="H270" s="21" t="str">
        <f aca="false">IFERROR(__xludf.dummyfunction("IF(D270,filter(Productos!AC:AC,Productos!A:A=B270),)"),"cocina")</f>
        <v>cocina</v>
      </c>
      <c r="I270" s="24" t="n">
        <f aca="false">IFERROR(__xludf.dummyfunction("""COMPUTED_VALUE"""),5700)</f>
        <v>5700</v>
      </c>
      <c r="K270" s="0" t="str">
        <f aca="false">IF(D270,"{""sku"":"""&amp;B270&amp;""", ""costo"":"&amp;C270&amp;", ""grupo"":"""&amp;A270&amp;""", ""lote"":"&amp;D270&amp;", ""tiempo"":"&amp;E270&amp;", "&amp;F270&amp;", ""vencimiento"":"&amp;G270&amp;IF(I270,", ""precio"":"&amp;I270,)&amp;", ""tipo"":"""&amp;H270&amp;"""},",)</f>
        <v>{"sku":"10012", "costo":10, "grupo":"4", "lote":1, "tiempo":20, "formula":[{"sku":"1201","req":1},{"sku":"1106","req":4},{"sku":"1110","req":1},{"sku":"1112","req":1},{"sku":"1108","req":1},{"sku":"1116","req":1}], "vencimiento":1, "precio":5700, "tipo":"cocina"},</v>
      </c>
    </row>
    <row r="271" customFormat="false" ht="13" hidden="false" customHeight="false" outlineLevel="0" collapsed="false">
      <c r="A271" s="17" t="n">
        <v>4</v>
      </c>
      <c r="B271" s="0" t="n">
        <f aca="false">IFERROR(__xludf.dummyfunction("""COMPUTED_VALUE"""),10013)</f>
        <v>10013</v>
      </c>
      <c r="C271" s="24" t="n">
        <f aca="false">IFERROR(__xludf.dummyfunction("""COMPUTED_VALUE"""),10)</f>
        <v>10</v>
      </c>
      <c r="D271" s="0" t="n">
        <f aca="false">IFERROR(__xludf.dummyfunction("""COMPUTED_VALUE"""),1)</f>
        <v>1</v>
      </c>
      <c r="E271" s="0" t="n">
        <f aca="false">IFERROR(__xludf.dummyfunction("""COMPUTED_VALUE"""),10)</f>
        <v>10</v>
      </c>
      <c r="F271" s="0" t="str">
        <f aca="false">IFERROR(__xludf.dummyfunction("filter(Formulas!$C:$C,Formulas!$A:$A=B271)"),"""formula"":[{""sku"":""1201"",""req"":1},{""sku"":""1106"",""req"":4},{""sku"":""1110"",""req"":1},{""sku"":""1112"",""req"":1},{""sku"":""1116"",""req"":1}]")</f>
        <v>"formula":[{"sku":"1201","req":1},{"sku":"1106","req":4},{"sku":"1110","req":1},{"sku":"1112","req":1},{"sku":"1116","req":1}]</v>
      </c>
      <c r="G271" s="0" t="n">
        <f aca="false">IFERROR(__xludf.dummyfunction("""COMPUTED_VALUE"""),1)</f>
        <v>1</v>
      </c>
      <c r="H271" s="21" t="str">
        <f aca="false">IFERROR(__xludf.dummyfunction("IF(D271,filter(Productos!AC:AC,Productos!A:A=B271),)"),"cocina")</f>
        <v>cocina</v>
      </c>
      <c r="I271" s="24" t="n">
        <f aca="false">IFERROR(__xludf.dummyfunction("""COMPUTED_VALUE"""),5700)</f>
        <v>5700</v>
      </c>
      <c r="K271" s="0" t="str">
        <f aca="false">IF(D271,"{""sku"":"""&amp;B271&amp;""", ""costo"":"&amp;C271&amp;", ""grupo"":"""&amp;A271&amp;""", ""lote"":"&amp;D271&amp;", ""tiempo"":"&amp;E271&amp;", "&amp;F271&amp;", ""vencimiento"":"&amp;G271&amp;IF(I271,", ""precio"":"&amp;I271,)&amp;", ""tipo"":"""&amp;H271&amp;"""},",)</f>
        <v>{"sku":"10013", "costo":10, "grupo":"4", "lote":1, "tiempo":10, "formula":[{"sku":"1201","req":1},{"sku":"1106","req":4},{"sku":"1110","req":1},{"sku":"1112","req":1},{"sku":"1116","req":1}], "vencimiento":1, "precio":5700, "tipo":"cocina"},</v>
      </c>
    </row>
    <row r="272" customFormat="false" ht="13" hidden="false" customHeight="false" outlineLevel="0" collapsed="false">
      <c r="A272" s="16" t="n">
        <v>4</v>
      </c>
      <c r="B272" s="0" t="n">
        <f aca="false">IFERROR(__xludf.dummyfunction("""COMPUTED_VALUE"""),10014)</f>
        <v>10014</v>
      </c>
      <c r="C272" s="24" t="n">
        <f aca="false">IFERROR(__xludf.dummyfunction("""COMPUTED_VALUE"""),10)</f>
        <v>10</v>
      </c>
      <c r="D272" s="0" t="n">
        <f aca="false">IFERROR(__xludf.dummyfunction("""COMPUTED_VALUE"""),1)</f>
        <v>1</v>
      </c>
      <c r="E272" s="0" t="n">
        <f aca="false">IFERROR(__xludf.dummyfunction("""COMPUTED_VALUE"""),10)</f>
        <v>10</v>
      </c>
      <c r="F272" s="0" t="str">
        <f aca="false">IFERROR(__xludf.dummyfunction("filter(Formulas!$C:$C,Formulas!$A:$A=B272)"),"""formula"":[{""sku"":""1201"",""req"":1},{""sku"":""1105"",""req"":1},{""sku"":""1110"",""req"":1},{""sku"":""1112"",""req"":1},{""sku"":""1116"",""req"":1}]")</f>
        <v>"formula":[{"sku":"1201","req":1},{"sku":"1105","req":1},{"sku":"1110","req":1},{"sku":"1112","req":1},{"sku":"1116","req":1}]</v>
      </c>
      <c r="G272" s="0" t="n">
        <f aca="false">IFERROR(__xludf.dummyfunction("""COMPUTED_VALUE"""),1)</f>
        <v>1</v>
      </c>
      <c r="H272" s="21" t="str">
        <f aca="false">IFERROR(__xludf.dummyfunction("IF(D272,filter(Productos!AC:AC,Productos!A:A=B272),)"),"cocina")</f>
        <v>cocina</v>
      </c>
      <c r="I272" s="24" t="n">
        <f aca="false">IFERROR(__xludf.dummyfunction("""COMPUTED_VALUE"""),4900)</f>
        <v>4900</v>
      </c>
      <c r="K272" s="0" t="str">
        <f aca="false">IF(D272,"{""sku"":"""&amp;B272&amp;""", ""costo"":"&amp;C272&amp;", ""grupo"":"""&amp;A272&amp;""", ""lote"":"&amp;D272&amp;", ""tiempo"":"&amp;E272&amp;", "&amp;F272&amp;", ""vencimiento"":"&amp;G272&amp;IF(I272,", ""precio"":"&amp;I272,)&amp;", ""tipo"":"""&amp;H272&amp;"""},",)</f>
        <v>{"sku":"10014", "costo":10, "grupo":"4", "lote":1, "tiempo":10, "formula":[{"sku":"1201","req":1},{"sku":"1105","req":1},{"sku":"1110","req":1},{"sku":"1112","req":1},{"sku":"1116","req":1}], "vencimiento":1, "precio":4900, "tipo":"cocina"},</v>
      </c>
    </row>
    <row r="273" customFormat="false" ht="13" hidden="false" customHeight="false" outlineLevel="0" collapsed="false">
      <c r="A273" s="17" t="n">
        <v>4</v>
      </c>
      <c r="B273" s="0" t="n">
        <f aca="false">IFERROR(__xludf.dummyfunction("""COMPUTED_VALUE"""),10015)</f>
        <v>10015</v>
      </c>
      <c r="C273" s="24" t="n">
        <f aca="false">IFERROR(__xludf.dummyfunction("""COMPUTED_VALUE"""),10)</f>
        <v>10</v>
      </c>
      <c r="D273" s="0" t="n">
        <f aca="false">IFERROR(__xludf.dummyfunction("""COMPUTED_VALUE"""),1)</f>
        <v>1</v>
      </c>
      <c r="E273" s="0" t="n">
        <f aca="false">IFERROR(__xludf.dummyfunction("""COMPUTED_VALUE"""),20)</f>
        <v>20</v>
      </c>
      <c r="F273" s="0" t="str">
        <f aca="false">IFERROR(__xludf.dummyfunction("filter(Formulas!$C:$C,Formulas!$A:$A=B273)"),"""formula"":[{""sku"":""1201"",""req"":1},{""sku"":""1109"",""req"":1},{""sku"":""1115"",""req"":1},{""sku"":""1110"",""req"":1},{""sku"":""1112"",""req"":1},{""sku"":""1116"",""req"":1}]")</f>
        <v>"formula":[{"sku":"1201","req":1},{"sku":"1109","req":1},{"sku":"1115","req":1},{"sku":"1110","req":1},{"sku":"1112","req":1},{"sku":"1116","req":1}]</v>
      </c>
      <c r="G273" s="0" t="n">
        <f aca="false">IFERROR(__xludf.dummyfunction("""COMPUTED_VALUE"""),1)</f>
        <v>1</v>
      </c>
      <c r="H273" s="21" t="str">
        <f aca="false">IFERROR(__xludf.dummyfunction("IF(D273,filter(Productos!AC:AC,Productos!A:A=B273),)"),"cocina")</f>
        <v>cocina</v>
      </c>
      <c r="I273" s="24" t="n">
        <f aca="false">IFERROR(__xludf.dummyfunction("""COMPUTED_VALUE"""),5700)</f>
        <v>5700</v>
      </c>
      <c r="K273" s="0" t="str">
        <f aca="false">IF(D273,"{""sku"":"""&amp;B273&amp;""", ""costo"":"&amp;C273&amp;", ""grupo"":"""&amp;A273&amp;""", ""lote"":"&amp;D273&amp;", ""tiempo"":"&amp;E273&amp;", "&amp;F273&amp;", ""vencimiento"":"&amp;G273&amp;IF(I273,", ""precio"":"&amp;I273,)&amp;", ""tipo"":"""&amp;H273&amp;"""},",)</f>
        <v>{"sku":"10015", "costo":10, "grupo":"4", "lote":1, "tiempo":20, "formula":[{"sku":"1201","req":1},{"sku":"1109","req":1},{"sku":"1115","req":1},{"sku":"1110","req":1},{"sku":"1112","req":1},{"sku":"1116","req":1}], "vencimiento":1, "precio":5700, "tipo":"cocina"},</v>
      </c>
    </row>
    <row r="274" customFormat="false" ht="13" hidden="false" customHeight="false" outlineLevel="0" collapsed="false">
      <c r="A274" s="16" t="n">
        <v>4</v>
      </c>
      <c r="B274" s="0" t="n">
        <f aca="false">IFERROR(__xludf.dummyfunction("""COMPUTED_VALUE"""),10016)</f>
        <v>10016</v>
      </c>
      <c r="C274" s="24" t="n">
        <f aca="false">IFERROR(__xludf.dummyfunction("""COMPUTED_VALUE"""),10)</f>
        <v>10</v>
      </c>
      <c r="D274" s="0" t="n">
        <f aca="false">IFERROR(__xludf.dummyfunction("""COMPUTED_VALUE"""),1)</f>
        <v>1</v>
      </c>
      <c r="E274" s="0" t="n">
        <f aca="false">IFERROR(__xludf.dummyfunction("""COMPUTED_VALUE"""),20)</f>
        <v>20</v>
      </c>
      <c r="F274" s="0" t="str">
        <f aca="false">IFERROR(__xludf.dummyfunction("filter(Formulas!$C:$C,Formulas!$A:$A=B274)"),"""formula"":[{""sku"":""1201"",""req"":1},{""sku"":""1106"",""req"":4},{""sku"":""1110"",""req"":1},{""sku"":""1112"",""req"":1},{""sku"":""1107"",""req"":1},{""sku"":""1116"",""req"":1}]")</f>
        <v>"formula":[{"sku":"1201","req":1},{"sku":"1106","req":4},{"sku":"1110","req":1},{"sku":"1112","req":1},{"sku":"1107","req":1},{"sku":"1116","req":1}]</v>
      </c>
      <c r="G274" s="0" t="n">
        <f aca="false">IFERROR(__xludf.dummyfunction("""COMPUTED_VALUE"""),1)</f>
        <v>1</v>
      </c>
      <c r="H274" s="21" t="str">
        <f aca="false">IFERROR(__xludf.dummyfunction("IF(D274,filter(Productos!AC:AC,Productos!A:A=B274),)"),"cocina")</f>
        <v>cocina</v>
      </c>
      <c r="I274" s="24" t="n">
        <f aca="false">IFERROR(__xludf.dummyfunction("""COMPUTED_VALUE"""),5700)</f>
        <v>5700</v>
      </c>
      <c r="K274" s="0" t="str">
        <f aca="false">IF(D274,"{""sku"":"""&amp;B274&amp;""", ""costo"":"&amp;C274&amp;", ""grupo"":"""&amp;A274&amp;""", ""lote"":"&amp;D274&amp;", ""tiempo"":"&amp;E274&amp;", "&amp;F274&amp;", ""vencimiento"":"&amp;G274&amp;IF(I274,", ""precio"":"&amp;I274,)&amp;", ""tipo"":"""&amp;H274&amp;"""},",)</f>
        <v>{"sku":"10016", "costo":10, "grupo":"4", "lote":1, "tiempo":20, "formula":[{"sku":"1201","req":1},{"sku":"1106","req":4},{"sku":"1110","req":1},{"sku":"1112","req":1},{"sku":"1107","req":1},{"sku":"1116","req":1}], "vencimiento":1, "precio":5700, "tipo":"cocina"},</v>
      </c>
    </row>
    <row r="275" customFormat="false" ht="13" hidden="false" customHeight="false" outlineLevel="0" collapsed="false">
      <c r="A275" s="17" t="n">
        <v>4</v>
      </c>
      <c r="B275" s="0" t="n">
        <f aca="false">IFERROR(__xludf.dummyfunction("""COMPUTED_VALUE"""),10017)</f>
        <v>10017</v>
      </c>
      <c r="C275" s="24" t="n">
        <f aca="false">IFERROR(__xludf.dummyfunction("""COMPUTED_VALUE"""),10)</f>
        <v>10</v>
      </c>
      <c r="D275" s="0" t="n">
        <f aca="false">IFERROR(__xludf.dummyfunction("""COMPUTED_VALUE"""),1)</f>
        <v>1</v>
      </c>
      <c r="E275" s="0" t="n">
        <f aca="false">IFERROR(__xludf.dummyfunction("""COMPUTED_VALUE"""),10)</f>
        <v>10</v>
      </c>
      <c r="F275" s="0" t="str">
        <f aca="false">IFERROR(__xludf.dummyfunction("filter(Formulas!$C:$C,Formulas!$A:$A=B275)"),"""formula"":[{""sku"":""1201"",""req"":1},{""sku"":""1110"",""req"":1},{""sku"":""1112"",""req"":1},{""sku"":""1107"",""req"":1},{""sku"":""1116"",""req"":1}]")</f>
        <v>"formula":[{"sku":"1201","req":1},{"sku":"1110","req":1},{"sku":"1112","req":1},{"sku":"1107","req":1},{"sku":"1116","req":1}]</v>
      </c>
      <c r="G275" s="0" t="n">
        <f aca="false">IFERROR(__xludf.dummyfunction("""COMPUTED_VALUE"""),1)</f>
        <v>1</v>
      </c>
      <c r="H275" s="21" t="str">
        <f aca="false">IFERROR(__xludf.dummyfunction("IF(D275,filter(Productos!AC:AC,Productos!A:A=B275),)"),"cocina")</f>
        <v>cocina</v>
      </c>
      <c r="I275" s="24" t="n">
        <f aca="false">IFERROR(__xludf.dummyfunction("""COMPUTED_VALUE"""),5700)</f>
        <v>5700</v>
      </c>
      <c r="K275" s="0" t="str">
        <f aca="false">IF(D275,"{""sku"":"""&amp;B275&amp;""", ""costo"":"&amp;C275&amp;", ""grupo"":"""&amp;A275&amp;""", ""lote"":"&amp;D275&amp;", ""tiempo"":"&amp;E275&amp;", "&amp;F275&amp;", ""vencimiento"":"&amp;G275&amp;IF(I275,", ""precio"":"&amp;I275,)&amp;", ""tipo"":"""&amp;H275&amp;"""},",)</f>
        <v>{"sku":"10017", "costo":10, "grupo":"4", "lote":1, "tiempo":10, "formula":[{"sku":"1201","req":1},{"sku":"1110","req":1},{"sku":"1112","req":1},{"sku":"1107","req":1},{"sku":"1116","req":1}], "vencimiento":1, "precio":5700, "tipo":"cocina"},</v>
      </c>
    </row>
    <row r="276" customFormat="false" ht="13" hidden="false" customHeight="false" outlineLevel="0" collapsed="false">
      <c r="A276" s="16" t="n">
        <v>4</v>
      </c>
      <c r="B276" s="0" t="n">
        <f aca="false">IFERROR(__xludf.dummyfunction("""COMPUTED_VALUE"""),10018)</f>
        <v>10018</v>
      </c>
      <c r="C276" s="24" t="n">
        <f aca="false">IFERROR(__xludf.dummyfunction("""COMPUTED_VALUE"""),10)</f>
        <v>10</v>
      </c>
      <c r="D276" s="0" t="n">
        <f aca="false">IFERROR(__xludf.dummyfunction("""COMPUTED_VALUE"""),1)</f>
        <v>1</v>
      </c>
      <c r="E276" s="0" t="n">
        <f aca="false">IFERROR(__xludf.dummyfunction("""COMPUTED_VALUE"""),10)</f>
        <v>10</v>
      </c>
      <c r="F276" s="0" t="str">
        <f aca="false">IFERROR(__xludf.dummyfunction("filter(Formulas!$C:$C,Formulas!$A:$A=B276)"),"""formula"":[{""sku"":""1201"",""req"":1},{""sku"":""1105"",""req"":1},{""sku"":""1112"",""req"":1},{""sku"":""1407"",""req"":1},{""sku"":""1116"",""req"":1}]")</f>
        <v>"formula":[{"sku":"1201","req":1},{"sku":"1105","req":1},{"sku":"1112","req":1},{"sku":"1407","req":1},{"sku":"1116","req":1}]</v>
      </c>
      <c r="G276" s="0" t="n">
        <f aca="false">IFERROR(__xludf.dummyfunction("""COMPUTED_VALUE"""),1)</f>
        <v>1</v>
      </c>
      <c r="H276" s="21" t="str">
        <f aca="false">IFERROR(__xludf.dummyfunction("IF(D276,filter(Productos!AC:AC,Productos!A:A=B276),)"),"cocina")</f>
        <v>cocina</v>
      </c>
      <c r="I276" s="24" t="n">
        <f aca="false">IFERROR(__xludf.dummyfunction("""COMPUTED_VALUE"""),5700)</f>
        <v>5700</v>
      </c>
      <c r="K276" s="0" t="str">
        <f aca="false">IF(D276,"{""sku"":"""&amp;B276&amp;""", ""costo"":"&amp;C276&amp;", ""grupo"":"""&amp;A276&amp;""", ""lote"":"&amp;D276&amp;", ""tiempo"":"&amp;E276&amp;", "&amp;F276&amp;", ""vencimiento"":"&amp;G276&amp;IF(I276,", ""precio"":"&amp;I276,)&amp;", ""tipo"":"""&amp;H276&amp;"""},",)</f>
        <v>{"sku":"10018", "costo":10, "grupo":"4", "lote":1, "tiempo":10, "formula":[{"sku":"1201","req":1},{"sku":"1105","req":1},{"sku":"1112","req":1},{"sku":"1407","req":1},{"sku":"1116","req":1}], "vencimiento":1, "precio":5700, "tipo":"cocina"},</v>
      </c>
    </row>
    <row r="277" customFormat="false" ht="13" hidden="false" customHeight="false" outlineLevel="0" collapsed="false">
      <c r="A277" s="17" t="n">
        <v>4</v>
      </c>
      <c r="B277" s="0" t="n">
        <f aca="false">IFERROR(__xludf.dummyfunction("""COMPUTED_VALUE"""),10019)</f>
        <v>10019</v>
      </c>
      <c r="C277" s="24" t="n">
        <f aca="false">IFERROR(__xludf.dummyfunction("""COMPUTED_VALUE"""),10)</f>
        <v>10</v>
      </c>
      <c r="D277" s="0" t="n">
        <f aca="false">IFERROR(__xludf.dummyfunction("""COMPUTED_VALUE"""),1)</f>
        <v>1</v>
      </c>
      <c r="E277" s="0" t="n">
        <f aca="false">IFERROR(__xludf.dummyfunction("""COMPUTED_VALUE"""),10)</f>
        <v>10</v>
      </c>
      <c r="F277" s="0" t="str">
        <f aca="false">IFERROR(__xludf.dummyfunction("filter(Formulas!$C:$C,Formulas!$A:$A=B277)"),"""formula"":[{""sku"":""1201"",""req"":1},{""sku"":""1106"",""req"":4},{""sku"":""1210"",""req"":1},{""sku"":""1116"",""req"":1},{""sku"":""1407"",""req"":1}]")</f>
        <v>"formula":[{"sku":"1201","req":1},{"sku":"1106","req":4},{"sku":"1210","req":1},{"sku":"1116","req":1},{"sku":"1407","req":1}]</v>
      </c>
      <c r="G277" s="0" t="n">
        <f aca="false">IFERROR(__xludf.dummyfunction("""COMPUTED_VALUE"""),1)</f>
        <v>1</v>
      </c>
      <c r="H277" s="21" t="str">
        <f aca="false">IFERROR(__xludf.dummyfunction("IF(D277,filter(Productos!AC:AC,Productos!A:A=B277),)"),"cocina")</f>
        <v>cocina</v>
      </c>
      <c r="I277" s="24" t="n">
        <f aca="false">IFERROR(__xludf.dummyfunction("""COMPUTED_VALUE"""),5700)</f>
        <v>5700</v>
      </c>
      <c r="K277" s="0" t="str">
        <f aca="false">IF(D277,"{""sku"":"""&amp;B277&amp;""", ""costo"":"&amp;C277&amp;", ""grupo"":"""&amp;A277&amp;""", ""lote"":"&amp;D277&amp;", ""tiempo"":"&amp;E277&amp;", "&amp;F277&amp;", ""vencimiento"":"&amp;G277&amp;IF(I277,", ""precio"":"&amp;I277,)&amp;", ""tipo"":"""&amp;H277&amp;"""},",)</f>
        <v>{"sku":"10019", "costo":10, "grupo":"4", "lote":1, "tiempo":10, "formula":[{"sku":"1201","req":1},{"sku":"1106","req":4},{"sku":"1210","req":1},{"sku":"1116","req":1},{"sku":"1407","req":1}], "vencimiento":1, "precio":5700, "tipo":"cocina"},</v>
      </c>
    </row>
    <row r="278" customFormat="false" ht="13" hidden="false" customHeight="false" outlineLevel="0" collapsed="false">
      <c r="A278" s="16" t="n">
        <v>4</v>
      </c>
      <c r="B278" s="0" t="n">
        <f aca="false">IFERROR(__xludf.dummyfunction("""COMPUTED_VALUE"""),10020)</f>
        <v>10020</v>
      </c>
      <c r="C278" s="24" t="n">
        <f aca="false">IFERROR(__xludf.dummyfunction("""COMPUTED_VALUE"""),10)</f>
        <v>10</v>
      </c>
      <c r="D278" s="0" t="n">
        <f aca="false">IFERROR(__xludf.dummyfunction("""COMPUTED_VALUE"""),1)</f>
        <v>1</v>
      </c>
      <c r="E278" s="0" t="n">
        <f aca="false">IFERROR(__xludf.dummyfunction("""COMPUTED_VALUE"""),20)</f>
        <v>20</v>
      </c>
      <c r="F278" s="0" t="str">
        <f aca="false">IFERROR(__xludf.dummyfunction("filter(Formulas!$C:$C,Formulas!$A:$A=B278)"),"""formula"":[{""sku"":""1201"",""req"":1},{""sku"":""1116"",""req"":1},{""sku"":""1106"",""req"":4},{""sku"":""1112"",""req"":1},{""sku"":""1114"",""req"":1},{""sku"":""1407"",""req"":1}]")</f>
        <v>"formula":[{"sku":"1201","req":1},{"sku":"1116","req":1},{"sku":"1106","req":4},{"sku":"1112","req":1},{"sku":"1114","req":1},{"sku":"1407","req":1}]</v>
      </c>
      <c r="G278" s="0" t="n">
        <f aca="false">IFERROR(__xludf.dummyfunction("""COMPUTED_VALUE"""),1)</f>
        <v>1</v>
      </c>
      <c r="H278" s="21" t="str">
        <f aca="false">IFERROR(__xludf.dummyfunction("IF(D278,filter(Productos!AC:AC,Productos!A:A=B278),)"),"cocina")</f>
        <v>cocina</v>
      </c>
      <c r="I278" s="24" t="n">
        <f aca="false">IFERROR(__xludf.dummyfunction("""COMPUTED_VALUE"""),5900)</f>
        <v>5900</v>
      </c>
      <c r="K278" s="0" t="str">
        <f aca="false">IF(D278,"{""sku"":"""&amp;B278&amp;""", ""costo"":"&amp;C278&amp;", ""grupo"":"""&amp;A278&amp;""", ""lote"":"&amp;D278&amp;", ""tiempo"":"&amp;E278&amp;", "&amp;F278&amp;", ""vencimiento"":"&amp;G278&amp;IF(I278,", ""precio"":"&amp;I278,)&amp;", ""tipo"":"""&amp;H278&amp;"""},",)</f>
        <v>{"sku":"10020", "costo":10, "grupo":"4", "lote":1, "tiempo":20, "formula":[{"sku":"1201","req":1},{"sku":"1116","req":1},{"sku":"1106","req":4},{"sku":"1112","req":1},{"sku":"1114","req":1},{"sku":"1407","req":1}], "vencimiento":1, "precio":5900, "tipo":"cocina"},</v>
      </c>
    </row>
    <row r="279" customFormat="false" ht="13" hidden="false" customHeight="false" outlineLevel="0" collapsed="false">
      <c r="A279" s="17" t="n">
        <v>4</v>
      </c>
      <c r="B279" s="0" t="n">
        <f aca="false">IFERROR(__xludf.dummyfunction("""COMPUTED_VALUE"""),10021)</f>
        <v>10021</v>
      </c>
      <c r="C279" s="24" t="n">
        <f aca="false">IFERROR(__xludf.dummyfunction("""COMPUTED_VALUE"""),10)</f>
        <v>10</v>
      </c>
      <c r="D279" s="0" t="n">
        <f aca="false">IFERROR(__xludf.dummyfunction("""COMPUTED_VALUE"""),1)</f>
        <v>1</v>
      </c>
      <c r="E279" s="0" t="n">
        <f aca="false">IFERROR(__xludf.dummyfunction("""COMPUTED_VALUE"""),10)</f>
        <v>10</v>
      </c>
      <c r="F279" s="0" t="str">
        <f aca="false">IFERROR(__xludf.dummyfunction("filter(Formulas!$C:$C,Formulas!$A:$A=B279)"),"""formula"":[{""sku"":""1201"",""req"":1},{""sku"":""1116"",""req"":1},{""sku"":""1109"",""req"":1},{""sku"":""1114"",""req"":1},{""sku"":""1407"",""req"":1}]")</f>
        <v>"formula":[{"sku":"1201","req":1},{"sku":"1116","req":1},{"sku":"1109","req":1},{"sku":"1114","req":1},{"sku":"1407","req":1}]</v>
      </c>
      <c r="G279" s="0" t="n">
        <f aca="false">IFERROR(__xludf.dummyfunction("""COMPUTED_VALUE"""),1)</f>
        <v>1</v>
      </c>
      <c r="H279" s="21" t="str">
        <f aca="false">IFERROR(__xludf.dummyfunction("IF(D279,filter(Productos!AC:AC,Productos!A:A=B279),)"),"cocina")</f>
        <v>cocina</v>
      </c>
      <c r="I279" s="24" t="n">
        <f aca="false">IFERROR(__xludf.dummyfunction("""COMPUTED_VALUE"""),5900)</f>
        <v>5900</v>
      </c>
      <c r="K279" s="0" t="str">
        <f aca="false">IF(D279,"{""sku"":"""&amp;B279&amp;""", ""costo"":"&amp;C279&amp;", ""grupo"":"""&amp;A279&amp;""", ""lote"":"&amp;D279&amp;", ""tiempo"":"&amp;E279&amp;", "&amp;F279&amp;", ""vencimiento"":"&amp;G279&amp;IF(I279,", ""precio"":"&amp;I279,)&amp;", ""tipo"":"""&amp;H279&amp;"""},",)</f>
        <v>{"sku":"10021", "costo":10, "grupo":"4", "lote":1, "tiempo":10, "formula":[{"sku":"1201","req":1},{"sku":"1116","req":1},{"sku":"1109","req":1},{"sku":"1114","req":1},{"sku":"1407","req":1}], "vencimiento":1, "precio":5900, "tipo":"cocina"},</v>
      </c>
    </row>
    <row r="280" customFormat="false" ht="13" hidden="false" customHeight="false" outlineLevel="0" collapsed="false">
      <c r="A280" s="16" t="n">
        <v>4</v>
      </c>
      <c r="B280" s="0" t="n">
        <f aca="false">IFERROR(__xludf.dummyfunction("""COMPUTED_VALUE"""),10022)</f>
        <v>10022</v>
      </c>
      <c r="C280" s="24" t="n">
        <f aca="false">IFERROR(__xludf.dummyfunction("""COMPUTED_VALUE"""),10)</f>
        <v>10</v>
      </c>
      <c r="D280" s="0" t="n">
        <f aca="false">IFERROR(__xludf.dummyfunction("""COMPUTED_VALUE"""),1)</f>
        <v>1</v>
      </c>
      <c r="E280" s="0" t="n">
        <f aca="false">IFERROR(__xludf.dummyfunction("""COMPUTED_VALUE"""),20)</f>
        <v>20</v>
      </c>
      <c r="F280" s="0" t="str">
        <f aca="false">IFERROR(__xludf.dummyfunction("filter(Formulas!$C:$C,Formulas!$A:$A=B280)"),"""formula"":[{""sku"":""1201"",""req"":1},{""sku"":""1116"",""req"":1},{""sku"":""1107"",""req"":1},{""sku"":""1112"",""req"":1},{""sku"":""1210"",""req"":1},{""sku"":""1215"",""req"":1}]")</f>
        <v>"formula":[{"sku":"1201","req":1},{"sku":"1116","req":1},{"sku":"1107","req":1},{"sku":"1112","req":1},{"sku":"1210","req":1},{"sku":"1215","req":1}]</v>
      </c>
      <c r="G280" s="0" t="n">
        <f aca="false">IFERROR(__xludf.dummyfunction("""COMPUTED_VALUE"""),1)</f>
        <v>1</v>
      </c>
      <c r="H280" s="21" t="str">
        <f aca="false">IFERROR(__xludf.dummyfunction("IF(D280,filter(Productos!AC:AC,Productos!A:A=B280),)"),"cocina")</f>
        <v>cocina</v>
      </c>
      <c r="I280" s="24" t="n">
        <f aca="false">IFERROR(__xludf.dummyfunction("""COMPUTED_VALUE"""),5500)</f>
        <v>5500</v>
      </c>
      <c r="K280" s="0" t="str">
        <f aca="false">IF(D280,"{""sku"":"""&amp;B280&amp;""", ""costo"":"&amp;C280&amp;", ""grupo"":"""&amp;A280&amp;""", ""lote"":"&amp;D280&amp;", ""tiempo"":"&amp;E280&amp;", "&amp;F280&amp;", ""vencimiento"":"&amp;G280&amp;IF(I280,", ""precio"":"&amp;I280,)&amp;", ""tipo"":"""&amp;H280&amp;"""},",)</f>
        <v>{"sku":"10022", "costo":10, "grupo":"4", "lote":1, "tiempo":20, "formula":[{"sku":"1201","req":1},{"sku":"1116","req":1},{"sku":"1107","req":1},{"sku":"1112","req":1},{"sku":"1210","req":1},{"sku":"1215","req":1}], "vencimiento":1, "precio":5500, "tipo":"cocina"},</v>
      </c>
    </row>
    <row r="281" customFormat="false" ht="13" hidden="false" customHeight="false" outlineLevel="0" collapsed="false">
      <c r="A281" s="17" t="n">
        <v>4</v>
      </c>
      <c r="B281" s="0" t="n">
        <f aca="false">IFERROR(__xludf.dummyfunction("""COMPUTED_VALUE"""),10023)</f>
        <v>10023</v>
      </c>
      <c r="C281" s="24" t="n">
        <f aca="false">IFERROR(__xludf.dummyfunction("""COMPUTED_VALUE"""),10)</f>
        <v>10</v>
      </c>
      <c r="D281" s="0" t="n">
        <f aca="false">IFERROR(__xludf.dummyfunction("""COMPUTED_VALUE"""),1)</f>
        <v>1</v>
      </c>
      <c r="E281" s="0" t="n">
        <f aca="false">IFERROR(__xludf.dummyfunction("""COMPUTED_VALUE"""),20)</f>
        <v>20</v>
      </c>
      <c r="F281" s="0" t="str">
        <f aca="false">IFERROR(__xludf.dummyfunction("filter(Formulas!$C:$C,Formulas!$A:$A=B281)"),"""formula"":[{""sku"":""1201"",""req"":1},{""sku"":""1116"",""req"":1},{""sku"":""1109"",""req"":1},{""sku"":""1112"",""req"":1},{""sku"":""1210"",""req"":1},{""sku"":""1215"",""req"":1}]")</f>
        <v>"formula":[{"sku":"1201","req":1},{"sku":"1116","req":1},{"sku":"1109","req":1},{"sku":"1112","req":1},{"sku":"1210","req":1},{"sku":"1215","req":1}]</v>
      </c>
      <c r="G281" s="0" t="n">
        <f aca="false">IFERROR(__xludf.dummyfunction("""COMPUTED_VALUE"""),1)</f>
        <v>1</v>
      </c>
      <c r="H281" s="21" t="str">
        <f aca="false">IFERROR(__xludf.dummyfunction("IF(D281,filter(Productos!AC:AC,Productos!A:A=B281),)"),"cocina")</f>
        <v>cocina</v>
      </c>
      <c r="I281" s="24" t="n">
        <f aca="false">IFERROR(__xludf.dummyfunction("""COMPUTED_VALUE"""),5500)</f>
        <v>5500</v>
      </c>
      <c r="K281" s="0" t="str">
        <f aca="false">IF(D281,"{""sku"":"""&amp;B281&amp;""", ""costo"":"&amp;C281&amp;", ""grupo"":"""&amp;A281&amp;""", ""lote"":"&amp;D281&amp;", ""tiempo"":"&amp;E281&amp;", "&amp;F281&amp;", ""vencimiento"":"&amp;G281&amp;IF(I281,", ""precio"":"&amp;I281,)&amp;", ""tipo"":"""&amp;H281&amp;"""},",)</f>
        <v>{"sku":"10023", "costo":10, "grupo":"4", "lote":1, "tiempo":20, "formula":[{"sku":"1201","req":1},{"sku":"1116","req":1},{"sku":"1109","req":1},{"sku":"1112","req":1},{"sku":"1210","req":1},{"sku":"1215","req":1}], "vencimiento":1, "precio":5500, "tipo":"cocina"},</v>
      </c>
    </row>
    <row r="282" customFormat="false" ht="13" hidden="false" customHeight="false" outlineLevel="0" collapsed="false">
      <c r="A282" s="16" t="n">
        <v>4</v>
      </c>
      <c r="B282" s="0" t="n">
        <f aca="false">IFERROR(__xludf.dummyfunction("""COMPUTED_VALUE"""),10024)</f>
        <v>10024</v>
      </c>
      <c r="C282" s="24" t="n">
        <f aca="false">IFERROR(__xludf.dummyfunction("""COMPUTED_VALUE"""),10)</f>
        <v>10</v>
      </c>
      <c r="D282" s="0" t="n">
        <f aca="false">IFERROR(__xludf.dummyfunction("""COMPUTED_VALUE"""),1)</f>
        <v>1</v>
      </c>
      <c r="E282" s="0" t="n">
        <f aca="false">IFERROR(__xludf.dummyfunction("""COMPUTED_VALUE"""),20)</f>
        <v>20</v>
      </c>
      <c r="F282" s="0" t="str">
        <f aca="false">IFERROR(__xludf.dummyfunction("filter(Formulas!$C:$C,Formulas!$A:$A=B282)"),"""formula"":[{""sku"":""1201"",""req"":1},{""sku"":""1116"",""req"":1},{""sku"":""1210"",""req"":1},{""sku"":""1114"",""req"":1},{""sku"":""1115"",""req"":1},{""sku"":""1211"",""req"":1}]")</f>
        <v>"formula":[{"sku":"1201","req":1},{"sku":"1116","req":1},{"sku":"1210","req":1},{"sku":"1114","req":1},{"sku":"1115","req":1},{"sku":"1211","req":1}]</v>
      </c>
      <c r="G282" s="0" t="n">
        <f aca="false">IFERROR(__xludf.dummyfunction("""COMPUTED_VALUE"""),1)</f>
        <v>1</v>
      </c>
      <c r="H282" s="21" t="str">
        <f aca="false">IFERROR(__xludf.dummyfunction("IF(D282,filter(Productos!AC:AC,Productos!A:A=B282),)"),"cocina")</f>
        <v>cocina</v>
      </c>
      <c r="I282" s="24" t="n">
        <f aca="false">IFERROR(__xludf.dummyfunction("""COMPUTED_VALUE"""),4900)</f>
        <v>4900</v>
      </c>
      <c r="K282" s="0" t="str">
        <f aca="false">IF(D282,"{""sku"":"""&amp;B282&amp;""", ""costo"":"&amp;C282&amp;", ""grupo"":"""&amp;A282&amp;""", ""lote"":"&amp;D282&amp;", ""tiempo"":"&amp;E282&amp;", "&amp;F282&amp;", ""vencimiento"":"&amp;G282&amp;IF(I282,", ""precio"":"&amp;I282,)&amp;", ""tipo"":"""&amp;H282&amp;"""},",)</f>
        <v>{"sku":"10024", "costo":10, "grupo":"4", "lote":1, "tiempo":20, "formula":[{"sku":"1201","req":1},{"sku":"1116","req":1},{"sku":"1210","req":1},{"sku":"1114","req":1},{"sku":"1115","req":1},{"sku":"1211","req":1}], "vencimiento":1, "precio":4900, "tipo":"cocina"},</v>
      </c>
    </row>
    <row r="283" customFormat="false" ht="13" hidden="false" customHeight="false" outlineLevel="0" collapsed="false">
      <c r="A283" s="17" t="n">
        <v>4</v>
      </c>
      <c r="B283" s="0" t="n">
        <f aca="false">IFERROR(__xludf.dummyfunction("""COMPUTED_VALUE"""),10025)</f>
        <v>10025</v>
      </c>
      <c r="C283" s="24" t="n">
        <f aca="false">IFERROR(__xludf.dummyfunction("""COMPUTED_VALUE"""),10)</f>
        <v>10</v>
      </c>
      <c r="D283" s="0" t="n">
        <f aca="false">IFERROR(__xludf.dummyfunction("""COMPUTED_VALUE"""),1)</f>
        <v>1</v>
      </c>
      <c r="E283" s="0" t="n">
        <f aca="false">IFERROR(__xludf.dummyfunction("""COMPUTED_VALUE"""),20)</f>
        <v>20</v>
      </c>
      <c r="F283" s="0" t="str">
        <f aca="false">IFERROR(__xludf.dummyfunction("filter(Formulas!$C:$C,Formulas!$A:$A=B283)"),"""formula"":[{""sku"":""1201"",""req"":1},{""sku"":""1116"",""req"":1},{""sku"":""1210"",""req"":1},{""sku"":""1114"",""req"":1},{""sku"":""1115"",""req"":1},{""sku"":""1013"",""req"":5}]")</f>
        <v>"formula":[{"sku":"1201","req":1},{"sku":"1116","req":1},{"sku":"1210","req":1},{"sku":"1114","req":1},{"sku":"1115","req":1},{"sku":"1013","req":5}]</v>
      </c>
      <c r="G283" s="0" t="n">
        <f aca="false">IFERROR(__xludf.dummyfunction("""COMPUTED_VALUE"""),1)</f>
        <v>1</v>
      </c>
      <c r="H283" s="21" t="str">
        <f aca="false">IFERROR(__xludf.dummyfunction("IF(D283,filter(Productos!AC:AC,Productos!A:A=B283),)"),"cocina")</f>
        <v>cocina</v>
      </c>
      <c r="I283" s="24" t="n">
        <f aca="false">IFERROR(__xludf.dummyfunction("""COMPUTED_VALUE"""),4900)</f>
        <v>4900</v>
      </c>
      <c r="K283" s="0" t="str">
        <f aca="false">IF(D283,"{""sku"":"""&amp;B283&amp;""", ""costo"":"&amp;C283&amp;", ""grupo"":"""&amp;A283&amp;""", ""lote"":"&amp;D283&amp;", ""tiempo"":"&amp;E283&amp;", "&amp;F283&amp;", ""vencimiento"":"&amp;G283&amp;IF(I283,", ""precio"":"&amp;I283,)&amp;", ""tipo"":"""&amp;H283&amp;"""},",)</f>
        <v>{"sku":"10025", "costo":10, "grupo":"4", "lote":1, "tiempo":20, "formula":[{"sku":"1201","req":1},{"sku":"1116","req":1},{"sku":"1210","req":1},{"sku":"1114","req":1},{"sku":"1115","req":1},{"sku":"1013","req":5}], "vencimiento":1, "precio":4900, "tipo":"cocina"},</v>
      </c>
    </row>
    <row r="284" customFormat="false" ht="13" hidden="false" customHeight="false" outlineLevel="0" collapsed="false">
      <c r="A284" s="16" t="n">
        <v>4</v>
      </c>
      <c r="B284" s="0" t="n">
        <f aca="false">IFERROR(__xludf.dummyfunction("""COMPUTED_VALUE"""),20001)</f>
        <v>20001</v>
      </c>
      <c r="C284" s="24" t="n">
        <f aca="false">IFERROR(__xludf.dummyfunction("""COMPUTED_VALUE"""),10)</f>
        <v>10</v>
      </c>
      <c r="D284" s="0" t="n">
        <f aca="false">IFERROR(__xludf.dummyfunction("""COMPUTED_VALUE"""),1)</f>
        <v>1</v>
      </c>
      <c r="E284" s="0" t="n">
        <f aca="false">IFERROR(__xludf.dummyfunction("""COMPUTED_VALUE"""),10)</f>
        <v>10</v>
      </c>
      <c r="F284" s="0" t="str">
        <f aca="false">IFERROR(__xludf.dummyfunction("filter(Formulas!$C:$C,Formulas!$A:$A=B284)"),"""formula"":[{""sku"":""1301"",""req"":1},{""sku"":""1207"",""req"":1},{""sku"":""1310"",""req"":1},{""sku"":""1112"",""req"":1},{""sku"":""1216"",""req"":1}]")</f>
        <v>"formula":[{"sku":"1301","req":1},{"sku":"1207","req":1},{"sku":"1310","req":1},{"sku":"1112","req":1},{"sku":"1216","req":1}]</v>
      </c>
      <c r="G284" s="0" t="n">
        <f aca="false">IFERROR(__xludf.dummyfunction("""COMPUTED_VALUE"""),1)</f>
        <v>1</v>
      </c>
      <c r="H284" s="21" t="str">
        <f aca="false">IFERROR(__xludf.dummyfunction("IF(D284,filter(Productos!AC:AC,Productos!A:A=B284),)"),"cocina")</f>
        <v>cocina</v>
      </c>
      <c r="I284" s="24" t="n">
        <f aca="false">IFERROR(__xludf.dummyfunction("""COMPUTED_VALUE"""),2700)</f>
        <v>2700</v>
      </c>
      <c r="K284" s="0" t="str">
        <f aca="false">IF(D284,"{""sku"":"""&amp;B284&amp;""", ""costo"":"&amp;C284&amp;", ""grupo"":"""&amp;A284&amp;""", ""lote"":"&amp;D284&amp;", ""tiempo"":"&amp;E284&amp;", "&amp;F284&amp;", ""vencimiento"":"&amp;G284&amp;IF(I284,", ""precio"":"&amp;I284,)&amp;", ""tipo"":"""&amp;H284&amp;"""},",)</f>
        <v>{"sku":"20001", "costo":10, "grupo":"4", "lote":1, "tiempo":10, "formula":[{"sku":"1301","req":1},{"sku":"1207","req":1},{"sku":"1310","req":1},{"sku":"1112","req":1},{"sku":"1216","req":1}], "vencimiento":1, "precio":2700, "tipo":"cocina"},</v>
      </c>
    </row>
    <row r="285" customFormat="false" ht="13" hidden="false" customHeight="false" outlineLevel="0" collapsed="false">
      <c r="A285" s="17" t="n">
        <v>4</v>
      </c>
      <c r="B285" s="0" t="n">
        <f aca="false">IFERROR(__xludf.dummyfunction("""COMPUTED_VALUE"""),20002)</f>
        <v>20002</v>
      </c>
      <c r="C285" s="24" t="n">
        <f aca="false">IFERROR(__xludf.dummyfunction("""COMPUTED_VALUE"""),10)</f>
        <v>10</v>
      </c>
      <c r="D285" s="0" t="n">
        <f aca="false">IFERROR(__xludf.dummyfunction("""COMPUTED_VALUE"""),1)</f>
        <v>1</v>
      </c>
      <c r="E285" s="0" t="n">
        <f aca="false">IFERROR(__xludf.dummyfunction("""COMPUTED_VALUE"""),10)</f>
        <v>10</v>
      </c>
      <c r="F285" s="0" t="str">
        <f aca="false">IFERROR(__xludf.dummyfunction("filter(Formulas!$C:$C,Formulas!$A:$A=B285)"),"""formula"":[{""sku"":""1301"",""req"":1},{""sku"":""1216"",""req"":1},{""sku"":""1106"",""req"":4}]")</f>
        <v>"formula":[{"sku":"1301","req":1},{"sku":"1216","req":1},{"sku":"1106","req":4}]</v>
      </c>
      <c r="G285" s="0" t="n">
        <f aca="false">IFERROR(__xludf.dummyfunction("""COMPUTED_VALUE"""),1)</f>
        <v>1</v>
      </c>
      <c r="H285" s="21" t="str">
        <f aca="false">IFERROR(__xludf.dummyfunction("IF(D285,filter(Productos!AC:AC,Productos!A:A=B285),)"),"cocina")</f>
        <v>cocina</v>
      </c>
      <c r="I285" s="24" t="n">
        <f aca="false">IFERROR(__xludf.dummyfunction("""COMPUTED_VALUE"""),2700)</f>
        <v>2700</v>
      </c>
      <c r="K285" s="0" t="str">
        <f aca="false">IF(D285,"{""sku"":"""&amp;B285&amp;""", ""costo"":"&amp;C285&amp;", ""grupo"":"""&amp;A285&amp;""", ""lote"":"&amp;D285&amp;", ""tiempo"":"&amp;E285&amp;", "&amp;F285&amp;", ""vencimiento"":"&amp;G285&amp;IF(I285,", ""precio"":"&amp;I285,)&amp;", ""tipo"":"""&amp;H285&amp;"""},",)</f>
        <v>{"sku":"20002", "costo":10, "grupo":"4", "lote":1, "tiempo":10, "formula":[{"sku":"1301","req":1},{"sku":"1216","req":1},{"sku":"1106","req":4}], "vencimiento":1, "precio":2700, "tipo":"cocina"},</v>
      </c>
    </row>
    <row r="286" customFormat="false" ht="13" hidden="false" customHeight="false" outlineLevel="0" collapsed="false">
      <c r="A286" s="16" t="n">
        <v>4</v>
      </c>
      <c r="B286" s="0" t="n">
        <f aca="false">IFERROR(__xludf.dummyfunction("""COMPUTED_VALUE"""),20003)</f>
        <v>20003</v>
      </c>
      <c r="C286" s="24" t="n">
        <f aca="false">IFERROR(__xludf.dummyfunction("""COMPUTED_VALUE"""),10)</f>
        <v>10</v>
      </c>
      <c r="D286" s="0" t="n">
        <f aca="false">IFERROR(__xludf.dummyfunction("""COMPUTED_VALUE"""),1)</f>
        <v>1</v>
      </c>
      <c r="E286" s="0" t="n">
        <f aca="false">IFERROR(__xludf.dummyfunction("""COMPUTED_VALUE"""),10)</f>
        <v>10</v>
      </c>
      <c r="F286" s="0" t="str">
        <f aca="false">IFERROR(__xludf.dummyfunction("filter(Formulas!$C:$C,Formulas!$A:$A=B286)"),"""formula"":[{""sku"":""1301"",""req"":1},{""sku"":""1216"",""req"":1},{""sku"":""1207"",""req"":1}]")</f>
        <v>"formula":[{"sku":"1301","req":1},{"sku":"1216","req":1},{"sku":"1207","req":1}]</v>
      </c>
      <c r="G286" s="0" t="n">
        <f aca="false">IFERROR(__xludf.dummyfunction("""COMPUTED_VALUE"""),1)</f>
        <v>1</v>
      </c>
      <c r="H286" s="21" t="str">
        <f aca="false">IFERROR(__xludf.dummyfunction("IF(D286,filter(Productos!AC:AC,Productos!A:A=B286),)"),"cocina")</f>
        <v>cocina</v>
      </c>
      <c r="I286" s="24" t="n">
        <f aca="false">IFERROR(__xludf.dummyfunction("""COMPUTED_VALUE"""),2700)</f>
        <v>2700</v>
      </c>
      <c r="K286" s="0" t="str">
        <f aca="false">IF(D286,"{""sku"":"""&amp;B286&amp;""", ""costo"":"&amp;C286&amp;", ""grupo"":"""&amp;A286&amp;""", ""lote"":"&amp;D286&amp;", ""tiempo"":"&amp;E286&amp;", "&amp;F286&amp;", ""vencimiento"":"&amp;G286&amp;IF(I286,", ""precio"":"&amp;I286,)&amp;", ""tipo"":"""&amp;H286&amp;"""},",)</f>
        <v>{"sku":"20003", "costo":10, "grupo":"4", "lote":1, "tiempo":10, "formula":[{"sku":"1301","req":1},{"sku":"1216","req":1},{"sku":"1207","req":1}], "vencimiento":1, "precio":2700, "tipo":"cocina"},</v>
      </c>
    </row>
    <row r="287" customFormat="false" ht="13" hidden="false" customHeight="false" outlineLevel="0" collapsed="false">
      <c r="A287" s="17" t="n">
        <v>4</v>
      </c>
      <c r="B287" s="0" t="n">
        <f aca="false">IFERROR(__xludf.dummyfunction("""COMPUTED_VALUE"""),20004)</f>
        <v>20004</v>
      </c>
      <c r="C287" s="24" t="n">
        <f aca="false">IFERROR(__xludf.dummyfunction("""COMPUTED_VALUE"""),10)</f>
        <v>10</v>
      </c>
      <c r="D287" s="0" t="n">
        <f aca="false">IFERROR(__xludf.dummyfunction("""COMPUTED_VALUE"""),1)</f>
        <v>1</v>
      </c>
      <c r="E287" s="0" t="n">
        <f aca="false">IFERROR(__xludf.dummyfunction("""COMPUTED_VALUE"""),10)</f>
        <v>10</v>
      </c>
      <c r="F287" s="0" t="str">
        <f aca="false">IFERROR(__xludf.dummyfunction("filter(Formulas!$C:$C,Formulas!$A:$A=B287)"),"""formula"":[{""sku"":""1301"",""req"":1},{""sku"":""1216"",""req"":1},{""sku"":""1209"",""req"":1}]")</f>
        <v>"formula":[{"sku":"1301","req":1},{"sku":"1216","req":1},{"sku":"1209","req":1}]</v>
      </c>
      <c r="G287" s="0" t="n">
        <f aca="false">IFERROR(__xludf.dummyfunction("""COMPUTED_VALUE"""),1)</f>
        <v>1</v>
      </c>
      <c r="H287" s="21" t="str">
        <f aca="false">IFERROR(__xludf.dummyfunction("IF(D287,filter(Productos!AC:AC,Productos!A:A=B287),)"),"cocina")</f>
        <v>cocina</v>
      </c>
      <c r="I287" s="24" t="n">
        <f aca="false">IFERROR(__xludf.dummyfunction("""COMPUTED_VALUE"""),2700)</f>
        <v>2700</v>
      </c>
      <c r="K287" s="0" t="str">
        <f aca="false">IF(D287,"{""sku"":"""&amp;B287&amp;""", ""costo"":"&amp;C287&amp;", ""grupo"":"""&amp;A287&amp;""", ""lote"":"&amp;D287&amp;", ""tiempo"":"&amp;E287&amp;", "&amp;F287&amp;", ""vencimiento"":"&amp;G287&amp;IF(I287,", ""precio"":"&amp;I287,)&amp;", ""tipo"":"""&amp;H287&amp;"""},",)</f>
        <v>{"sku":"20004", "costo":10, "grupo":"4", "lote":1, "tiempo":10, "formula":[{"sku":"1301","req":1},{"sku":"1216","req":1},{"sku":"1209","req":1}], "vencimiento":1, "precio":2700, "tipo":"cocina"},</v>
      </c>
    </row>
    <row r="288" customFormat="false" ht="13" hidden="false" customHeight="false" outlineLevel="0" collapsed="false">
      <c r="A288" s="16" t="n">
        <v>4</v>
      </c>
      <c r="B288" s="0" t="n">
        <f aca="false">IFERROR(__xludf.dummyfunction("""COMPUTED_VALUE"""),20005)</f>
        <v>20005</v>
      </c>
      <c r="C288" s="24" t="n">
        <f aca="false">IFERROR(__xludf.dummyfunction("""COMPUTED_VALUE"""),10)</f>
        <v>10</v>
      </c>
      <c r="D288" s="0" t="n">
        <f aca="false">IFERROR(__xludf.dummyfunction("""COMPUTED_VALUE"""),1)</f>
        <v>1</v>
      </c>
      <c r="E288" s="0" t="n">
        <f aca="false">IFERROR(__xludf.dummyfunction("""COMPUTED_VALUE"""),20)</f>
        <v>20</v>
      </c>
      <c r="F288" s="0" t="str">
        <f aca="false">IFERROR(__xludf.dummyfunction("filter(Formulas!$C:$C,Formulas!$A:$A=B288)"),"""formula"":[{""sku"":""1301"",""req"":1},{""sku"":""1216"",""req"":1},{""sku"":""1209"",""req"":1},{""sku"":""1310"",""req"":1},{""sku"":""1112"",""req"":1}]")</f>
        <v>"formula":[{"sku":"1301","req":1},{"sku":"1216","req":1},{"sku":"1209","req":1},{"sku":"1310","req":1},{"sku":"1112","req":1}]</v>
      </c>
      <c r="G288" s="0" t="n">
        <f aca="false">IFERROR(__xludf.dummyfunction("""COMPUTED_VALUE"""),1)</f>
        <v>1</v>
      </c>
      <c r="H288" s="21" t="str">
        <f aca="false">IFERROR(__xludf.dummyfunction("IF(D288,filter(Productos!AC:AC,Productos!A:A=B288),)"),"cocina")</f>
        <v>cocina</v>
      </c>
      <c r="I288" s="24" t="n">
        <f aca="false">IFERROR(__xludf.dummyfunction("""COMPUTED_VALUE"""),2700)</f>
        <v>2700</v>
      </c>
      <c r="K288" s="0" t="str">
        <f aca="false">IF(D288,"{""sku"":"""&amp;B288&amp;""", ""costo"":"&amp;C288&amp;", ""grupo"":"""&amp;A288&amp;""", ""lote"":"&amp;D288&amp;", ""tiempo"":"&amp;E288&amp;", "&amp;F288&amp;", ""vencimiento"":"&amp;G288&amp;IF(I288,", ""precio"":"&amp;I288,)&amp;", ""tipo"":"""&amp;H288&amp;"""},",)</f>
        <v>{"sku":"20005", "costo":10, "grupo":"4", "lote":1, "tiempo":20, "formula":[{"sku":"1301","req":1},{"sku":"1216","req":1},{"sku":"1209","req":1},{"sku":"1310","req":1},{"sku":"1112","req":1}], "vencimiento":1, "precio":2700, "tipo":"cocina"},</v>
      </c>
    </row>
    <row r="289" customFormat="false" ht="13" hidden="false" customHeight="false" outlineLevel="0" collapsed="false">
      <c r="A289" s="17" t="n">
        <v>4</v>
      </c>
      <c r="B289" s="0" t="n">
        <f aca="false">IFERROR(__xludf.dummyfunction("""COMPUTED_VALUE"""),30001)</f>
        <v>30001</v>
      </c>
      <c r="C289" s="24" t="n">
        <f aca="false">IFERROR(__xludf.dummyfunction("""COMPUTED_VALUE"""),10)</f>
        <v>10</v>
      </c>
      <c r="D289" s="0" t="n">
        <f aca="false">IFERROR(__xludf.dummyfunction("""COMPUTED_VALUE"""),1)</f>
        <v>1</v>
      </c>
      <c r="E289" s="0" t="n">
        <f aca="false">IFERROR(__xludf.dummyfunction("""COMPUTED_VALUE"""),10)</f>
        <v>10</v>
      </c>
      <c r="F289" s="0" t="str">
        <f aca="false">IFERROR(__xludf.dummyfunction("filter(Formulas!$C:$C,Formulas!$A:$A=B289)"),"""formula"":[{""sku"":""1307"",""req"":3}]")</f>
        <v>"formula":[{"sku":"1307","req":3}]</v>
      </c>
      <c r="G289" s="0" t="n">
        <f aca="false">IFERROR(__xludf.dummyfunction("""COMPUTED_VALUE"""),1)</f>
        <v>1</v>
      </c>
      <c r="H289" s="21" t="str">
        <f aca="false">IFERROR(__xludf.dummyfunction("IF(D289,filter(Productos!AC:AC,Productos!A:A=B289),)"),"cocina")</f>
        <v>cocina</v>
      </c>
      <c r="I289" s="24" t="n">
        <f aca="false">IFERROR(__xludf.dummyfunction("""COMPUTED_VALUE"""),7900)</f>
        <v>7900</v>
      </c>
      <c r="K289" s="0" t="str">
        <f aca="false">IF(D289,"{""sku"":"""&amp;B289&amp;""", ""costo"":"&amp;C289&amp;", ""grupo"":"""&amp;A289&amp;""", ""lote"":"&amp;D289&amp;", ""tiempo"":"&amp;E289&amp;", "&amp;F289&amp;", ""vencimiento"":"&amp;G289&amp;IF(I289,", ""precio"":"&amp;I289,)&amp;", ""tipo"":"""&amp;H289&amp;"""},",)</f>
        <v>{"sku":"30001", "costo":10, "grupo":"4", "lote":1, "tiempo":10, "formula":[{"sku":"1307","req":3}], "vencimiento":1, "precio":7900, "tipo":"cocina"},</v>
      </c>
    </row>
    <row r="290" customFormat="false" ht="13" hidden="false" customHeight="false" outlineLevel="0" collapsed="false">
      <c r="A290" s="16" t="n">
        <v>4</v>
      </c>
      <c r="B290" s="0" t="n">
        <f aca="false">IFERROR(__xludf.dummyfunction("""COMPUTED_VALUE"""),30002)</f>
        <v>30002</v>
      </c>
      <c r="C290" s="24" t="n">
        <f aca="false">IFERROR(__xludf.dummyfunction("""COMPUTED_VALUE"""),10)</f>
        <v>10</v>
      </c>
      <c r="D290" s="0" t="n">
        <f aca="false">IFERROR(__xludf.dummyfunction("""COMPUTED_VALUE"""),1)</f>
        <v>1</v>
      </c>
      <c r="E290" s="0" t="n">
        <f aca="false">IFERROR(__xludf.dummyfunction("""COMPUTED_VALUE"""),10)</f>
        <v>10</v>
      </c>
      <c r="F290" s="0" t="str">
        <f aca="false">IFERROR(__xludf.dummyfunction("filter(Formulas!$C:$C,Formulas!$A:$A=B290)"),"""formula"":[{""sku"":""1307"",""req"":4}]")</f>
        <v>"formula":[{"sku":"1307","req":4}]</v>
      </c>
      <c r="G290" s="0" t="n">
        <f aca="false">IFERROR(__xludf.dummyfunction("""COMPUTED_VALUE"""),1)</f>
        <v>1</v>
      </c>
      <c r="H290" s="21" t="str">
        <f aca="false">IFERROR(__xludf.dummyfunction("IF(D290,filter(Productos!AC:AC,Productos!A:A=B290),)"),"cocina")</f>
        <v>cocina</v>
      </c>
      <c r="I290" s="24" t="n">
        <f aca="false">IFERROR(__xludf.dummyfunction("""COMPUTED_VALUE"""),9900)</f>
        <v>9900</v>
      </c>
      <c r="K290" s="0" t="str">
        <f aca="false">IF(D290,"{""sku"":"""&amp;B290&amp;""", ""costo"":"&amp;C290&amp;", ""grupo"":"""&amp;A290&amp;""", ""lote"":"&amp;D290&amp;", ""tiempo"":"&amp;E290&amp;", "&amp;F290&amp;", ""vencimiento"":"&amp;G290&amp;IF(I290,", ""precio"":"&amp;I290,)&amp;", ""tipo"":"""&amp;H290&amp;"""},",)</f>
        <v>{"sku":"30002", "costo":10, "grupo":"4", "lote":1, "tiempo":10, "formula":[{"sku":"1307","req":4}], "vencimiento":1, "precio":9900, "tipo":"cocina"},</v>
      </c>
    </row>
    <row r="291" customFormat="false" ht="13" hidden="false" customHeight="false" outlineLevel="0" collapsed="false">
      <c r="A291" s="17" t="n">
        <v>4</v>
      </c>
      <c r="B291" s="0" t="n">
        <f aca="false">IFERROR(__xludf.dummyfunction("""COMPUTED_VALUE"""),30003)</f>
        <v>30003</v>
      </c>
      <c r="C291" s="24" t="n">
        <f aca="false">IFERROR(__xludf.dummyfunction("""COMPUTED_VALUE"""),10)</f>
        <v>10</v>
      </c>
      <c r="D291" s="0" t="n">
        <f aca="false">IFERROR(__xludf.dummyfunction("""COMPUTED_VALUE"""),1)</f>
        <v>1</v>
      </c>
      <c r="E291" s="0" t="n">
        <f aca="false">IFERROR(__xludf.dummyfunction("""COMPUTED_VALUE"""),10)</f>
        <v>10</v>
      </c>
      <c r="F291" s="0" t="str">
        <f aca="false">IFERROR(__xludf.dummyfunction("filter(Formulas!$C:$C,Formulas!$A:$A=B291)"),"""formula"":[{""sku"":""1307"",""req"":5}]")</f>
        <v>"formula":[{"sku":"1307","req":5}]</v>
      </c>
      <c r="G291" s="0" t="n">
        <f aca="false">IFERROR(__xludf.dummyfunction("""COMPUTED_VALUE"""),1)</f>
        <v>1</v>
      </c>
      <c r="H291" s="21" t="str">
        <f aca="false">IFERROR(__xludf.dummyfunction("IF(D291,filter(Productos!AC:AC,Productos!A:A=B291),)"),"cocina")</f>
        <v>cocina</v>
      </c>
      <c r="I291" s="24" t="n">
        <f aca="false">IFERROR(__xludf.dummyfunction("""COMPUTED_VALUE"""),12500)</f>
        <v>12500</v>
      </c>
      <c r="K291" s="0" t="str">
        <f aca="false">IF(D291,"{""sku"":"""&amp;B291&amp;""", ""costo"":"&amp;C291&amp;", ""grupo"":"""&amp;A291&amp;""", ""lote"":"&amp;D291&amp;", ""tiempo"":"&amp;E291&amp;", "&amp;F291&amp;", ""vencimiento"":"&amp;G291&amp;IF(I291,", ""precio"":"&amp;I291,)&amp;", ""tipo"":"""&amp;H291&amp;"""},",)</f>
        <v>{"sku":"30003", "costo":10, "grupo":"4", "lote":1, "tiempo":10, "formula":[{"sku":"1307","req":5}], "vencimiento":1, "precio":12500, "tipo":"cocina"},</v>
      </c>
    </row>
    <row r="292" customFormat="false" ht="13" hidden="false" customHeight="false" outlineLevel="0" collapsed="false">
      <c r="A292" s="16" t="n">
        <v>4</v>
      </c>
      <c r="B292" s="0" t="n">
        <f aca="false">IFERROR(__xludf.dummyfunction("""COMPUTED_VALUE"""),30004)</f>
        <v>30004</v>
      </c>
      <c r="C292" s="24" t="n">
        <f aca="false">IFERROR(__xludf.dummyfunction("""COMPUTED_VALUE"""),10)</f>
        <v>10</v>
      </c>
      <c r="D292" s="0" t="n">
        <f aca="false">IFERROR(__xludf.dummyfunction("""COMPUTED_VALUE"""),1)</f>
        <v>1</v>
      </c>
      <c r="E292" s="0" t="n">
        <f aca="false">IFERROR(__xludf.dummyfunction("""COMPUTED_VALUE"""),10)</f>
        <v>10</v>
      </c>
      <c r="F292" s="0" t="str">
        <f aca="false">IFERROR(__xludf.dummyfunction("filter(Formulas!$C:$C,Formulas!$A:$A=B292)"),"""formula"":[{""sku"":""1309"",""req"":3}]")</f>
        <v>"formula":[{"sku":"1309","req":3}]</v>
      </c>
      <c r="G292" s="0" t="n">
        <f aca="false">IFERROR(__xludf.dummyfunction("""COMPUTED_VALUE"""),1)</f>
        <v>1</v>
      </c>
      <c r="H292" s="21" t="str">
        <f aca="false">IFERROR(__xludf.dummyfunction("IF(D292,filter(Productos!AC:AC,Productos!A:A=B292),)"),"cocina")</f>
        <v>cocina</v>
      </c>
      <c r="I292" s="24" t="n">
        <f aca="false">IFERROR(__xludf.dummyfunction("""COMPUTED_VALUE"""),7900)</f>
        <v>7900</v>
      </c>
      <c r="K292" s="0" t="str">
        <f aca="false">IF(D292,"{""sku"":"""&amp;B292&amp;""", ""costo"":"&amp;C292&amp;", ""grupo"":"""&amp;A292&amp;""", ""lote"":"&amp;D292&amp;", ""tiempo"":"&amp;E292&amp;", "&amp;F292&amp;", ""vencimiento"":"&amp;G292&amp;IF(I292,", ""precio"":"&amp;I292,)&amp;", ""tipo"":"""&amp;H292&amp;"""},",)</f>
        <v>{"sku":"30004", "costo":10, "grupo":"4", "lote":1, "tiempo":10, "formula":[{"sku":"1309","req":3}], "vencimiento":1, "precio":7900, "tipo":"cocina"},</v>
      </c>
    </row>
    <row r="293" customFormat="false" ht="13" hidden="false" customHeight="false" outlineLevel="0" collapsed="false">
      <c r="A293" s="17" t="n">
        <v>4</v>
      </c>
      <c r="B293" s="0" t="n">
        <f aca="false">IFERROR(__xludf.dummyfunction("""COMPUTED_VALUE"""),30005)</f>
        <v>30005</v>
      </c>
      <c r="C293" s="24" t="n">
        <f aca="false">IFERROR(__xludf.dummyfunction("""COMPUTED_VALUE"""),10)</f>
        <v>10</v>
      </c>
      <c r="D293" s="0" t="n">
        <f aca="false">IFERROR(__xludf.dummyfunction("""COMPUTED_VALUE"""),1)</f>
        <v>1</v>
      </c>
      <c r="E293" s="0" t="n">
        <f aca="false">IFERROR(__xludf.dummyfunction("""COMPUTED_VALUE"""),10)</f>
        <v>10</v>
      </c>
      <c r="F293" s="0" t="str">
        <f aca="false">IFERROR(__xludf.dummyfunction("filter(Formulas!$C:$C,Formulas!$A:$A=B293)"),"""formula"":[{""sku"":""1309"",""req"":4}]")</f>
        <v>"formula":[{"sku":"1309","req":4}]</v>
      </c>
      <c r="G293" s="0" t="n">
        <f aca="false">IFERROR(__xludf.dummyfunction("""COMPUTED_VALUE"""),1)</f>
        <v>1</v>
      </c>
      <c r="H293" s="21" t="str">
        <f aca="false">IFERROR(__xludf.dummyfunction("IF(D293,filter(Productos!AC:AC,Productos!A:A=B293),)"),"cocina")</f>
        <v>cocina</v>
      </c>
      <c r="I293" s="24" t="n">
        <f aca="false">IFERROR(__xludf.dummyfunction("""COMPUTED_VALUE"""),9900)</f>
        <v>9900</v>
      </c>
      <c r="K293" s="0" t="str">
        <f aca="false">IF(D293,"{""sku"":"""&amp;B293&amp;""", ""costo"":"&amp;C293&amp;", ""grupo"":"""&amp;A293&amp;""", ""lote"":"&amp;D293&amp;", ""tiempo"":"&amp;E293&amp;", "&amp;F293&amp;", ""vencimiento"":"&amp;G293&amp;IF(I293,", ""precio"":"&amp;I293,)&amp;", ""tipo"":"""&amp;H293&amp;"""},",)</f>
        <v>{"sku":"30005", "costo":10, "grupo":"4", "lote":1, "tiempo":10, "formula":[{"sku":"1309","req":4}], "vencimiento":1, "precio":9900, "tipo":"cocina"},</v>
      </c>
    </row>
    <row r="294" customFormat="false" ht="13" hidden="false" customHeight="false" outlineLevel="0" collapsed="false">
      <c r="A294" s="17" t="n">
        <v>4</v>
      </c>
      <c r="B294" s="0" t="n">
        <f aca="false">IFERROR(__xludf.dummyfunction("""COMPUTED_VALUE"""),30006)</f>
        <v>30006</v>
      </c>
      <c r="C294" s="24" t="n">
        <f aca="false">IFERROR(__xludf.dummyfunction("""COMPUTED_VALUE"""),10)</f>
        <v>10</v>
      </c>
      <c r="D294" s="0" t="n">
        <f aca="false">IFERROR(__xludf.dummyfunction("""COMPUTED_VALUE"""),1)</f>
        <v>1</v>
      </c>
      <c r="E294" s="0" t="n">
        <f aca="false">IFERROR(__xludf.dummyfunction("""COMPUTED_VALUE"""),10)</f>
        <v>10</v>
      </c>
      <c r="F294" s="0" t="str">
        <f aca="false">IFERROR(__xludf.dummyfunction("filter(Formulas!$C:$C,Formulas!$A:$A=B294)"),"""formula"":[{""sku"":""1309"",""req"":5}]")</f>
        <v>"formula":[{"sku":"1309","req":5}]</v>
      </c>
      <c r="G294" s="0" t="n">
        <f aca="false">IFERROR(__xludf.dummyfunction("""COMPUTED_VALUE"""),1)</f>
        <v>1</v>
      </c>
      <c r="H294" s="21" t="str">
        <f aca="false">IFERROR(__xludf.dummyfunction("IF(D294,filter(Productos!AC:AC,Productos!A:A=B294),)"),"cocina")</f>
        <v>cocina</v>
      </c>
      <c r="I294" s="24" t="n">
        <f aca="false">IFERROR(__xludf.dummyfunction("""COMPUTED_VALUE"""),12500)</f>
        <v>12500</v>
      </c>
      <c r="K294" s="0" t="str">
        <f aca="false">IF(D294,"{""sku"":"""&amp;B294&amp;""", ""costo"":"&amp;C294&amp;", ""grupo"":"""&amp;A294&amp;""", ""lote"":"&amp;D294&amp;", ""tiempo"":"&amp;E294&amp;", "&amp;F294&amp;", ""vencimiento"":"&amp;G294&amp;IF(I294,", ""precio"":"&amp;I294,)&amp;", ""tipo"":"""&amp;H294&amp;"""},",)</f>
        <v>{"sku":"30006", "costo":10, "grupo":"4", "lote":1, "tiempo":10, "formula":[{"sku":"1309","req":5}], "vencimiento":1, "precio":12500, "tipo":"cocina"},</v>
      </c>
    </row>
    <row r="295" customFormat="false" ht="13" hidden="false" customHeight="false" outlineLevel="0" collapsed="false">
      <c r="A295" s="16" t="n">
        <v>4</v>
      </c>
      <c r="B295" s="0" t="n">
        <f aca="false">IFERROR(__xludf.dummyfunction("""COMPUTED_VALUE"""),30007)</f>
        <v>30007</v>
      </c>
      <c r="C295" s="24" t="n">
        <f aca="false">IFERROR(__xludf.dummyfunction("""COMPUTED_VALUE"""),10)</f>
        <v>10</v>
      </c>
      <c r="D295" s="0" t="n">
        <f aca="false">IFERROR(__xludf.dummyfunction("""COMPUTED_VALUE"""),1)</f>
        <v>1</v>
      </c>
      <c r="E295" s="0" t="n">
        <f aca="false">IFERROR(__xludf.dummyfunction("""COMPUTED_VALUE"""),10)</f>
        <v>10</v>
      </c>
      <c r="F295" s="0" t="str">
        <f aca="false">IFERROR(__xludf.dummyfunction("filter(Formulas!$C:$C,Formulas!$A:$A=B295)"),"""formula"":[{""sku"":""1309"",""req"":2},{""sku"":""1307"",""req"":2}]")</f>
        <v>"formula":[{"sku":"1309","req":2},{"sku":"1307","req":2}]</v>
      </c>
      <c r="G295" s="0" t="n">
        <f aca="false">IFERROR(__xludf.dummyfunction("""COMPUTED_VALUE"""),1)</f>
        <v>1</v>
      </c>
      <c r="H295" s="21" t="str">
        <f aca="false">IFERROR(__xludf.dummyfunction("IF(D295,filter(Productos!AC:AC,Productos!A:A=B295),)"),"cocina")</f>
        <v>cocina</v>
      </c>
      <c r="I295" s="24" t="n">
        <f aca="false">IFERROR(__xludf.dummyfunction("""COMPUTED_VALUE"""),9900)</f>
        <v>9900</v>
      </c>
      <c r="K295" s="0" t="str">
        <f aca="false">IF(D295,"{""sku"":"""&amp;B295&amp;""", ""costo"":"&amp;C295&amp;", ""grupo"":"""&amp;A295&amp;""", ""lote"":"&amp;D295&amp;", ""tiempo"":"&amp;E295&amp;", "&amp;F295&amp;", ""vencimiento"":"&amp;G295&amp;IF(I295,", ""precio"":"&amp;I295,)&amp;", ""tipo"":"""&amp;H295&amp;"""},",)</f>
        <v>{"sku":"30007", "costo":10, "grupo":"4", "lote":1, "tiempo":10, "formula":[{"sku":"1309","req":2},{"sku":"1307","req":2}], "vencimiento":1, "precio":9900, "tipo":"cocina"},</v>
      </c>
    </row>
    <row r="296" customFormat="false" ht="13" hidden="false" customHeight="false" outlineLevel="0" collapsed="false">
      <c r="A296" s="17" t="n">
        <v>4</v>
      </c>
      <c r="B296" s="0" t="n">
        <f aca="false">IFERROR(__xludf.dummyfunction("""COMPUTED_VALUE"""),30008)</f>
        <v>30008</v>
      </c>
      <c r="C296" s="24" t="n">
        <f aca="false">IFERROR(__xludf.dummyfunction("""COMPUTED_VALUE"""),10)</f>
        <v>10</v>
      </c>
      <c r="D296" s="0" t="n">
        <f aca="false">IFERROR(__xludf.dummyfunction("""COMPUTED_VALUE"""),1)</f>
        <v>1</v>
      </c>
      <c r="E296" s="0" t="n">
        <f aca="false">IFERROR(__xludf.dummyfunction("""COMPUTED_VALUE"""),10)</f>
        <v>10</v>
      </c>
      <c r="F296" s="0" t="str">
        <f aca="false">IFERROR(__xludf.dummyfunction("filter(Formulas!$C:$C,Formulas!$A:$A=B296)"),"""formula"":[{""sku"":""1309"",""req"":3},{""sku"":""1307"",""req"":3}]")</f>
        <v>"formula":[{"sku":"1309","req":3},{"sku":"1307","req":3}]</v>
      </c>
      <c r="G296" s="0" t="n">
        <f aca="false">IFERROR(__xludf.dummyfunction("""COMPUTED_VALUE"""),1)</f>
        <v>1</v>
      </c>
      <c r="H296" s="21" t="str">
        <f aca="false">IFERROR(__xludf.dummyfunction("IF(D296,filter(Productos!AC:AC,Productos!A:A=B296),)"),"cocina")</f>
        <v>cocina</v>
      </c>
      <c r="I296" s="24" t="n">
        <f aca="false">IFERROR(__xludf.dummyfunction("""COMPUTED_VALUE"""),15990)</f>
        <v>15990</v>
      </c>
      <c r="K296" s="0" t="str">
        <f aca="false">IF(D296,"{""sku"":"""&amp;B296&amp;""", ""costo"":"&amp;C296&amp;", ""grupo"":"""&amp;A296&amp;""", ""lote"":"&amp;D296&amp;", ""tiempo"":"&amp;E296&amp;", "&amp;F296&amp;", ""vencimiento"":"&amp;G296&amp;IF(I296,", ""precio"":"&amp;I296,)&amp;", ""tipo"":"""&amp;H296&amp;"""},",)</f>
        <v>{"sku":"30008", "costo":10, "grupo":"4", "lote":1, "tiempo":10, "formula":[{"sku":"1309","req":3},{"sku":"1307","req":3}], "vencimiento":1, "precio":15990, "tipo":"cocina"},</v>
      </c>
    </row>
    <row r="297" customFormat="false" ht="13" hidden="false" customHeight="false" outlineLevel="0" collapsed="false">
      <c r="H297" s="21" t="str">
        <f aca="false">IFERROR(__xludf.dummyfunction("IF(D297,filter(Productos!AC:AC,Productos!A:A=B297),)"),"")</f>
        <v/>
      </c>
      <c r="K297" s="0" t="n">
        <f aca="false">IF(D297,"{""sku"":"""&amp;B297&amp;""", ""costo"":"&amp;C297&amp;", ""grupo"":"""&amp;A297&amp;""", ""lote"":"&amp;D297&amp;", ""tiempo"":"&amp;E297&amp;", "&amp;F297&amp;", ""vencimiento"":"&amp;G297&amp;IF(I297,", ""precio"":"&amp;I297,)&amp;", ""tipo"":"""&amp;H297&amp;"""},",)</f>
        <v>0</v>
      </c>
    </row>
    <row r="298" customFormat="false" ht="13" hidden="false" customHeight="false" outlineLevel="0" collapsed="false">
      <c r="A298" s="22" t="s">
        <v>246</v>
      </c>
      <c r="B298" s="16" t="s">
        <v>247</v>
      </c>
      <c r="C298" s="16"/>
      <c r="D298" s="16"/>
      <c r="E298" s="16"/>
      <c r="F298" s="16"/>
      <c r="G298" s="25"/>
      <c r="H298" s="21" t="str">
        <f aca="false">IFERROR(__xludf.dummyfunction("IF(D298,filter(Productos!AC:AC,Productos!A:A=B298),)"),"")</f>
        <v/>
      </c>
      <c r="K298" s="0" t="n">
        <f aca="false">IF(D298,"{""sku"":"""&amp;B298&amp;""", ""costo"":"&amp;C298&amp;", ""grupo"":"""&amp;A298&amp;""", ""lote"":"&amp;D298&amp;", ""tiempo"":"&amp;E298&amp;", "&amp;F298&amp;", ""vencimiento"":"&amp;G298&amp;IF(I298,", ""precio"":"&amp;I298,)&amp;", ""tipo"":"""&amp;H298&amp;"""},",)</f>
        <v>0</v>
      </c>
    </row>
    <row r="299" customFormat="false" ht="13" hidden="false" customHeight="false" outlineLevel="0" collapsed="false">
      <c r="A299" s="17" t="n">
        <v>5</v>
      </c>
      <c r="B299" s="17" t="n">
        <f aca="false">IFERROR(__xludf.dummyfunction("filter(Productos!$A$2:$A1017,INDIRECT(B298))"),1001)</f>
        <v>1001</v>
      </c>
      <c r="C299" s="24" t="n">
        <f aca="false">IFERROR(__xludf.dummyfunction("filter(Productos!$D$2:$D1017,INDIRECT(B298))"),3000)</f>
        <v>3000</v>
      </c>
      <c r="D299" s="17" t="n">
        <f aca="false">IFERROR(__xludf.dummyfunction("filter(Productos!$K$2:$L1017,INDIRECT(B298))"),10)</f>
        <v>10</v>
      </c>
      <c r="E299" s="17" t="n">
        <f aca="false">IFERROR(__xludf.dummyfunction("""COMPUTED_VALUE"""),240)</f>
        <v>240</v>
      </c>
      <c r="F299" s="16" t="str">
        <f aca="false">IFERROR(__xludf.dummyfunction("filter(Formulas!$C:$C,Formulas!$A:$A=B299)"),"""formula"":null")</f>
        <v>"formula":null</v>
      </c>
      <c r="G299" s="26" t="n">
        <f aca="false">IFERROR(__xludf.dummyfunction("filter(Productos!$H$2:$H1017,INDIRECT(B298))"),720)</f>
        <v>720</v>
      </c>
      <c r="H299" s="21" t="str">
        <f aca="false">IFERROR(__xludf.dummyfunction("IF(D299,filter(Productos!AC:AC,Productos!A:A=B299),)"),"fabrica")</f>
        <v>fabrica</v>
      </c>
      <c r="I299" s="24" t="str">
        <f aca="false">IFERROR(__xludf.dummyfunction("filter(Productos!$E$2:$E1017,INDIRECT(B298))"),"")</f>
        <v/>
      </c>
      <c r="K299" s="0" t="e">
        <f aca="false">IF(D299,"{""sku"":"""&amp;B299&amp;""", ""costo"":"&amp;C299&amp;", ""grupo"":"""&amp;A299&amp;""", ""lote"":"&amp;D299&amp;", ""tiempo"":"&amp;E299&amp;", "&amp;F299&amp;", ""vencimiento"":"&amp;G299&amp;IF(I299,", ""precio"":"&amp;I299,)&amp;", ""tipo"":"""&amp;H299&amp;"""},",)</f>
        <v>#VALUE!</v>
      </c>
    </row>
    <row r="300" customFormat="false" ht="13" hidden="false" customHeight="false" outlineLevel="0" collapsed="false">
      <c r="A300" s="16" t="n">
        <v>5</v>
      </c>
      <c r="B300" s="0" t="n">
        <f aca="false">IFERROR(__xludf.dummyfunction("""COMPUTED_VALUE"""),1005)</f>
        <v>1005</v>
      </c>
      <c r="C300" s="24" t="n">
        <f aca="false">IFERROR(__xludf.dummyfunction("""COMPUTED_VALUE"""),9990)</f>
        <v>9990</v>
      </c>
      <c r="D300" s="0" t="n">
        <f aca="false">IFERROR(__xludf.dummyfunction("""COMPUTED_VALUE"""),5)</f>
        <v>5</v>
      </c>
      <c r="E300" s="0" t="n">
        <f aca="false">IFERROR(__xludf.dummyfunction("""COMPUTED_VALUE"""),260)</f>
        <v>260</v>
      </c>
      <c r="F300" s="0" t="str">
        <f aca="false">IFERROR(__xludf.dummyfunction("filter(Formulas!$C:$C,Formulas!$A:$A=B300)"),"""formula"":null")</f>
        <v>"formula":null</v>
      </c>
      <c r="G300" s="0" t="n">
        <f aca="false">IFERROR(__xludf.dummyfunction("""COMPUTED_VALUE"""),24)</f>
        <v>24</v>
      </c>
      <c r="H300" s="21" t="str">
        <f aca="false">IFERROR(__xludf.dummyfunction("IF(D300,filter(Productos!AC:AC,Productos!A:A=B300),)"),"fabrica")</f>
        <v>fabrica</v>
      </c>
      <c r="I300" s="24" t="str">
        <f aca="false">IFERROR(__xludf.dummyfunction("""COMPUTED_VALUE"""),"")</f>
        <v/>
      </c>
      <c r="K300" s="0" t="e">
        <f aca="false">IF(D300,"{""sku"":"""&amp;B300&amp;""", ""costo"":"&amp;C300&amp;", ""grupo"":"""&amp;A300&amp;""", ""lote"":"&amp;D300&amp;", ""tiempo"":"&amp;E300&amp;", "&amp;F300&amp;", ""vencimiento"":"&amp;G300&amp;IF(I300,", ""precio"":"&amp;I300,)&amp;", ""tipo"":"""&amp;H300&amp;"""},",)</f>
        <v>#VALUE!</v>
      </c>
    </row>
    <row r="301" customFormat="false" ht="13" hidden="false" customHeight="false" outlineLevel="0" collapsed="false">
      <c r="A301" s="17" t="n">
        <v>5</v>
      </c>
      <c r="B301" s="0" t="n">
        <f aca="false">IFERROR(__xludf.dummyfunction("""COMPUTED_VALUE"""),1006)</f>
        <v>1006</v>
      </c>
      <c r="C301" s="24" t="n">
        <f aca="false">IFERROR(__xludf.dummyfunction("""COMPUTED_VALUE"""),15990)</f>
        <v>15990</v>
      </c>
      <c r="D301" s="0" t="n">
        <f aca="false">IFERROR(__xludf.dummyfunction("""COMPUTED_VALUE"""),1)</f>
        <v>1</v>
      </c>
      <c r="E301" s="0" t="n">
        <f aca="false">IFERROR(__xludf.dummyfunction("""COMPUTED_VALUE"""),120)</f>
        <v>120</v>
      </c>
      <c r="F301" s="0" t="str">
        <f aca="false">IFERROR(__xludf.dummyfunction("filter(Formulas!$C:$C,Formulas!$A:$A=B301)"),"""formula"":null")</f>
        <v>"formula":null</v>
      </c>
      <c r="G301" s="0" t="n">
        <f aca="false">IFERROR(__xludf.dummyfunction("""COMPUTED_VALUE"""),720)</f>
        <v>720</v>
      </c>
      <c r="H301" s="21" t="str">
        <f aca="false">IFERROR(__xludf.dummyfunction("IF(D301,filter(Productos!AC:AC,Productos!A:A=B301),)"),"fabrica")</f>
        <v>fabrica</v>
      </c>
      <c r="I301" s="24" t="str">
        <f aca="false">IFERROR(__xludf.dummyfunction("""COMPUTED_VALUE"""),"")</f>
        <v/>
      </c>
      <c r="K301" s="0" t="e">
        <f aca="false">IF(D301,"{""sku"":"""&amp;B301&amp;""", ""costo"":"&amp;C301&amp;", ""grupo"":"""&amp;A301&amp;""", ""lote"":"&amp;D301&amp;", ""tiempo"":"&amp;E301&amp;", "&amp;F301&amp;", ""vencimiento"":"&amp;G301&amp;IF(I301,", ""precio"":"&amp;I301,)&amp;", ""tipo"":"""&amp;H301&amp;"""},",)</f>
        <v>#VALUE!</v>
      </c>
    </row>
    <row r="302" customFormat="false" ht="13" hidden="false" customHeight="false" outlineLevel="0" collapsed="false">
      <c r="A302" s="16" t="n">
        <v>5</v>
      </c>
      <c r="B302" s="0" t="n">
        <f aca="false">IFERROR(__xludf.dummyfunction("""COMPUTED_VALUE"""),1007)</f>
        <v>1007</v>
      </c>
      <c r="C302" s="24" t="n">
        <f aca="false">IFERROR(__xludf.dummyfunction("""COMPUTED_VALUE"""),32990)</f>
        <v>32990</v>
      </c>
      <c r="D302" s="0" t="n">
        <f aca="false">IFERROR(__xludf.dummyfunction("""COMPUTED_VALUE"""),8)</f>
        <v>8</v>
      </c>
      <c r="E302" s="0" t="n">
        <f aca="false">IFERROR(__xludf.dummyfunction("""COMPUTED_VALUE"""),300)</f>
        <v>300</v>
      </c>
      <c r="F302" s="0" t="str">
        <f aca="false">IFERROR(__xludf.dummyfunction("filter(Formulas!$C:$C,Formulas!$A:$A=B302)"),"""formula"":null")</f>
        <v>"formula":null</v>
      </c>
      <c r="G302" s="0" t="n">
        <f aca="false">IFERROR(__xludf.dummyfunction("""COMPUTED_VALUE"""),20)</f>
        <v>20</v>
      </c>
      <c r="H302" s="21" t="str">
        <f aca="false">IFERROR(__xludf.dummyfunction("IF(D302,filter(Productos!AC:AC,Productos!A:A=B302),)"),"fabrica")</f>
        <v>fabrica</v>
      </c>
      <c r="I302" s="24" t="str">
        <f aca="false">IFERROR(__xludf.dummyfunction("""COMPUTED_VALUE"""),"")</f>
        <v/>
      </c>
      <c r="K302" s="0" t="e">
        <f aca="false">IF(D302,"{""sku"":"""&amp;B302&amp;""", ""costo"":"&amp;C302&amp;", ""grupo"":"""&amp;A302&amp;""", ""lote"":"&amp;D302&amp;", ""tiempo"":"&amp;E302&amp;", "&amp;F302&amp;", ""vencimiento"":"&amp;G302&amp;IF(I302,", ""precio"":"&amp;I302,)&amp;", ""tipo"":"""&amp;H302&amp;"""},",)</f>
        <v>#VALUE!</v>
      </c>
    </row>
    <row r="303" customFormat="false" ht="13" hidden="false" customHeight="false" outlineLevel="0" collapsed="false">
      <c r="A303" s="17" t="n">
        <v>5</v>
      </c>
      <c r="B303" s="0" t="n">
        <f aca="false">IFERROR(__xludf.dummyfunction("""COMPUTED_VALUE"""),1008)</f>
        <v>1008</v>
      </c>
      <c r="C303" s="24" t="n">
        <f aca="false">IFERROR(__xludf.dummyfunction("""COMPUTED_VALUE"""),21990)</f>
        <v>21990</v>
      </c>
      <c r="D303" s="0" t="n">
        <f aca="false">IFERROR(__xludf.dummyfunction("""COMPUTED_VALUE"""),10)</f>
        <v>10</v>
      </c>
      <c r="E303" s="0" t="n">
        <f aca="false">IFERROR(__xludf.dummyfunction("""COMPUTED_VALUE"""),220)</f>
        <v>220</v>
      </c>
      <c r="F303" s="0" t="str">
        <f aca="false">IFERROR(__xludf.dummyfunction("filter(Formulas!$C:$C,Formulas!$A:$A=B303)"),"""formula"":null")</f>
        <v>"formula":null</v>
      </c>
      <c r="G303" s="0" t="n">
        <f aca="false">IFERROR(__xludf.dummyfunction("""COMPUTED_VALUE"""),48)</f>
        <v>48</v>
      </c>
      <c r="H303" s="21" t="str">
        <f aca="false">IFERROR(__xludf.dummyfunction("IF(D303,filter(Productos!AC:AC,Productos!A:A=B303),)"),"fabrica")</f>
        <v>fabrica</v>
      </c>
      <c r="I303" s="24" t="str">
        <f aca="false">IFERROR(__xludf.dummyfunction("""COMPUTED_VALUE"""),"")</f>
        <v/>
      </c>
      <c r="K303" s="0" t="e">
        <f aca="false">IF(D303,"{""sku"":"""&amp;B303&amp;""", ""costo"":"&amp;C303&amp;", ""grupo"":"""&amp;A303&amp;""", ""lote"":"&amp;D303&amp;", ""tiempo"":"&amp;E303&amp;", "&amp;F303&amp;", ""vencimiento"":"&amp;G303&amp;IF(I303,", ""precio"":"&amp;I303,)&amp;", ""tipo"":"""&amp;H303&amp;"""},",)</f>
        <v>#VALUE!</v>
      </c>
    </row>
    <row r="304" customFormat="false" ht="13" hidden="false" customHeight="false" outlineLevel="0" collapsed="false">
      <c r="A304" s="16" t="n">
        <v>5</v>
      </c>
      <c r="B304" s="0" t="n">
        <f aca="false">IFERROR(__xludf.dummyfunction("""COMPUTED_VALUE"""),1011)</f>
        <v>1011</v>
      </c>
      <c r="C304" s="24" t="n">
        <f aca="false">IFERROR(__xludf.dummyfunction("""COMPUTED_VALUE"""),990)</f>
        <v>990</v>
      </c>
      <c r="D304" s="0" t="n">
        <f aca="false">IFERROR(__xludf.dummyfunction("""COMPUTED_VALUE"""),4)</f>
        <v>4</v>
      </c>
      <c r="E304" s="0" t="n">
        <f aca="false">IFERROR(__xludf.dummyfunction("""COMPUTED_VALUE"""),120)</f>
        <v>120</v>
      </c>
      <c r="F304" s="0" t="str">
        <f aca="false">IFERROR(__xludf.dummyfunction("filter(Formulas!$C:$C,Formulas!$A:$A=B304)"),"""formula"":null")</f>
        <v>"formula":null</v>
      </c>
      <c r="G304" s="0" t="n">
        <f aca="false">IFERROR(__xludf.dummyfunction("""COMPUTED_VALUE"""),168)</f>
        <v>168</v>
      </c>
      <c r="H304" s="21" t="str">
        <f aca="false">IFERROR(__xludf.dummyfunction("IF(D304,filter(Productos!AC:AC,Productos!A:A=B304),)"),"fabrica")</f>
        <v>fabrica</v>
      </c>
      <c r="I304" s="24" t="str">
        <f aca="false">IFERROR(__xludf.dummyfunction("""COMPUTED_VALUE"""),"")</f>
        <v/>
      </c>
      <c r="K304" s="0" t="e">
        <f aca="false">IF(D304,"{""sku"":"""&amp;B304&amp;""", ""costo"":"&amp;C304&amp;", ""grupo"":"""&amp;A304&amp;""", ""lote"":"&amp;D304&amp;", ""tiempo"":"&amp;E304&amp;", "&amp;F304&amp;", ""vencimiento"":"&amp;G304&amp;IF(I304,", ""precio"":"&amp;I304,)&amp;", ""tipo"":"""&amp;H304&amp;"""},",)</f>
        <v>#VALUE!</v>
      </c>
    </row>
    <row r="305" customFormat="false" ht="13" hidden="false" customHeight="false" outlineLevel="0" collapsed="false">
      <c r="A305" s="17" t="n">
        <v>5</v>
      </c>
      <c r="B305" s="0" t="n">
        <f aca="false">IFERROR(__xludf.dummyfunction("""COMPUTED_VALUE"""),1014)</f>
        <v>1014</v>
      </c>
      <c r="C305" s="24" t="n">
        <f aca="false">IFERROR(__xludf.dummyfunction("""COMPUTED_VALUE"""),690)</f>
        <v>690</v>
      </c>
      <c r="D305" s="0" t="n">
        <f aca="false">IFERROR(__xludf.dummyfunction("""COMPUTED_VALUE"""),5)</f>
        <v>5</v>
      </c>
      <c r="E305" s="0" t="n">
        <f aca="false">IFERROR(__xludf.dummyfunction("""COMPUTED_VALUE"""),240)</f>
        <v>240</v>
      </c>
      <c r="F305" s="0" t="str">
        <f aca="false">IFERROR(__xludf.dummyfunction("filter(Formulas!$C:$C,Formulas!$A:$A=B305)"),"""formula"":null")</f>
        <v>"formula":null</v>
      </c>
      <c r="G305" s="0" t="n">
        <f aca="false">IFERROR(__xludf.dummyfunction("""COMPUTED_VALUE"""),24)</f>
        <v>24</v>
      </c>
      <c r="H305" s="21" t="str">
        <f aca="false">IFERROR(__xludf.dummyfunction("IF(D305,filter(Productos!AC:AC,Productos!A:A=B305),)"),"fabrica")</f>
        <v>fabrica</v>
      </c>
      <c r="I305" s="24" t="str">
        <f aca="false">IFERROR(__xludf.dummyfunction("""COMPUTED_VALUE"""),"")</f>
        <v/>
      </c>
      <c r="K305" s="0" t="e">
        <f aca="false">IF(D305,"{""sku"":"""&amp;B305&amp;""", ""costo"":"&amp;C305&amp;", ""grupo"":"""&amp;A305&amp;""", ""lote"":"&amp;D305&amp;", ""tiempo"":"&amp;E305&amp;", "&amp;F305&amp;", ""vencimiento"":"&amp;G305&amp;IF(I305,", ""precio"":"&amp;I305,)&amp;", ""tipo"":"""&amp;H305&amp;"""},",)</f>
        <v>#VALUE!</v>
      </c>
    </row>
    <row r="306" customFormat="false" ht="13" hidden="false" customHeight="false" outlineLevel="0" collapsed="false">
      <c r="A306" s="16" t="n">
        <v>5</v>
      </c>
      <c r="B306" s="0" t="n">
        <f aca="false">IFERROR(__xludf.dummyfunction("""COMPUTED_VALUE"""),1016)</f>
        <v>1016</v>
      </c>
      <c r="C306" s="24" t="n">
        <f aca="false">IFERROR(__xludf.dummyfunction("""COMPUTED_VALUE"""),2790)</f>
        <v>2790</v>
      </c>
      <c r="D306" s="0" t="n">
        <f aca="false">IFERROR(__xludf.dummyfunction("""COMPUTED_VALUE"""),8)</f>
        <v>8</v>
      </c>
      <c r="E306" s="0" t="n">
        <f aca="false">IFERROR(__xludf.dummyfunction("""COMPUTED_VALUE"""),600)</f>
        <v>600</v>
      </c>
      <c r="F306" s="0" t="str">
        <f aca="false">IFERROR(__xludf.dummyfunction("filter(Formulas!$C:$C,Formulas!$A:$A=B306)"),"""formula"":null")</f>
        <v>"formula":null</v>
      </c>
      <c r="G306" s="0" t="n">
        <f aca="false">IFERROR(__xludf.dummyfunction("""COMPUTED_VALUE"""),240)</f>
        <v>240</v>
      </c>
      <c r="H306" s="21" t="str">
        <f aca="false">IFERROR(__xludf.dummyfunction("IF(D306,filter(Productos!AC:AC,Productos!A:A=B306),)"),"fabrica")</f>
        <v>fabrica</v>
      </c>
      <c r="I306" s="0" t="str">
        <f aca="false">IFERROR(__xludf.dummyfunction("""COMPUTED_VALUE"""),"")</f>
        <v/>
      </c>
      <c r="K306" s="0" t="e">
        <f aca="false">IF(D306,"{""sku"":"""&amp;B306&amp;""", ""costo"":"&amp;C306&amp;", ""grupo"":"""&amp;A306&amp;""", ""lote"":"&amp;D306&amp;", ""tiempo"":"&amp;E306&amp;", "&amp;F306&amp;", ""vencimiento"":"&amp;G306&amp;IF(I306,", ""precio"":"&amp;I306,)&amp;", ""tipo"":"""&amp;H306&amp;"""},",)</f>
        <v>#VALUE!</v>
      </c>
    </row>
    <row r="307" customFormat="false" ht="13" hidden="false" customHeight="false" outlineLevel="0" collapsed="false">
      <c r="A307" s="17" t="n">
        <v>5</v>
      </c>
      <c r="B307" s="0" t="n">
        <f aca="false">IFERROR(__xludf.dummyfunction("""COMPUTED_VALUE"""),1101)</f>
        <v>1101</v>
      </c>
      <c r="C307" s="24" t="n">
        <f aca="false">IFERROR(__xludf.dummyfunction("""COMPUTED_VALUE"""),500)</f>
        <v>500</v>
      </c>
      <c r="D307" s="0" t="n">
        <f aca="false">IFERROR(__xludf.dummyfunction("""COMPUTED_VALUE"""),10)</f>
        <v>10</v>
      </c>
      <c r="E307" s="0" t="n">
        <f aca="false">IFERROR(__xludf.dummyfunction("""COMPUTED_VALUE"""),40)</f>
        <v>40</v>
      </c>
      <c r="F307" s="0" t="str">
        <f aca="false">IFERROR(__xludf.dummyfunction("filter(Formulas!$C:$C,Formulas!$A:$A=B307)"),"""formula"":[{""sku"":""1001"",""req"":8},{""sku"":""1003"",""req"":3},{""sku"":""1004"",""req"":2},{""sku"":""1002"",""req"":4}]")</f>
        <v>"formula":[{"sku":"1001","req":8},{"sku":"1003","req":3},{"sku":"1004","req":2},{"sku":"1002","req":4}]</v>
      </c>
      <c r="G307" s="0" t="n">
        <f aca="false">IFERROR(__xludf.dummyfunction("""COMPUTED_VALUE"""),3)</f>
        <v>3</v>
      </c>
      <c r="H307" s="21" t="str">
        <f aca="false">IFERROR(__xludf.dummyfunction("IF(D307,filter(Productos!AC:AC,Productos!A:A=B307),)"),"fabrica")</f>
        <v>fabrica</v>
      </c>
      <c r="I307" s="24" t="str">
        <f aca="false">IFERROR(__xludf.dummyfunction("""COMPUTED_VALUE"""),"")</f>
        <v/>
      </c>
      <c r="K307" s="0" t="e">
        <f aca="false">IF(D307,"{""sku"":"""&amp;B307&amp;""", ""costo"":"&amp;C307&amp;", ""grupo"":"""&amp;A307&amp;""", ""lote"":"&amp;D307&amp;", ""tiempo"":"&amp;E307&amp;", "&amp;F307&amp;", ""vencimiento"":"&amp;G307&amp;IF(I307,", ""precio"":"&amp;I307,)&amp;", ""tipo"":"""&amp;H307&amp;"""},",)</f>
        <v>#VALUE!</v>
      </c>
    </row>
    <row r="308" customFormat="false" ht="13" hidden="false" customHeight="false" outlineLevel="0" collapsed="false">
      <c r="A308" s="16" t="n">
        <v>5</v>
      </c>
      <c r="B308" s="0" t="n">
        <f aca="false">IFERROR(__xludf.dummyfunction("""COMPUTED_VALUE"""),1105)</f>
        <v>1105</v>
      </c>
      <c r="C308" s="24" t="n">
        <f aca="false">IFERROR(__xludf.dummyfunction("""COMPUTED_VALUE"""),10)</f>
        <v>10</v>
      </c>
      <c r="D308" s="0" t="n">
        <f aca="false">IFERROR(__xludf.dummyfunction("""COMPUTED_VALUE"""),10)</f>
        <v>10</v>
      </c>
      <c r="E308" s="0" t="n">
        <f aca="false">IFERROR(__xludf.dummyfunction("""COMPUTED_VALUE"""),10)</f>
        <v>10</v>
      </c>
      <c r="F308" s="0" t="str">
        <f aca="false">IFERROR(__xludf.dummyfunction("filter(Formulas!$C:$C,Formulas!$A:$A=B308)"),"""formula"":[{""sku"":""1005"",""req"":1}]")</f>
        <v>"formula":[{"sku":"1005","req":1}]</v>
      </c>
      <c r="G308" s="0" t="n">
        <f aca="false">IFERROR(__xludf.dummyfunction("""COMPUTED_VALUE"""),3)</f>
        <v>3</v>
      </c>
      <c r="H308" s="21" t="str">
        <f aca="false">IFERROR(__xludf.dummyfunction("IF(D308,filter(Productos!AC:AC,Productos!A:A=B308),)"),"fabrica")</f>
        <v>fabrica</v>
      </c>
      <c r="I308" s="24" t="str">
        <f aca="false">IFERROR(__xludf.dummyfunction("""COMPUTED_VALUE"""),"")</f>
        <v/>
      </c>
      <c r="K308" s="0" t="e">
        <f aca="false">IF(D308,"{""sku"":"""&amp;B308&amp;""", ""costo"":"&amp;C308&amp;", ""grupo"":"""&amp;A308&amp;""", ""lote"":"&amp;D308&amp;", ""tiempo"":"&amp;E308&amp;", "&amp;F308&amp;", ""vencimiento"":"&amp;G308&amp;IF(I308,", ""precio"":"&amp;I308,)&amp;", ""tipo"":"""&amp;H308&amp;"""},",)</f>
        <v>#VALUE!</v>
      </c>
    </row>
    <row r="309" customFormat="false" ht="13" hidden="false" customHeight="false" outlineLevel="0" collapsed="false">
      <c r="A309" s="17" t="n">
        <v>5</v>
      </c>
      <c r="B309" s="0" t="n">
        <f aca="false">IFERROR(__xludf.dummyfunction("""COMPUTED_VALUE"""),1106)</f>
        <v>1106</v>
      </c>
      <c r="C309" s="24" t="n">
        <f aca="false">IFERROR(__xludf.dummyfunction("""COMPUTED_VALUE"""),700)</f>
        <v>700</v>
      </c>
      <c r="D309" s="0" t="n">
        <f aca="false">IFERROR(__xludf.dummyfunction("""COMPUTED_VALUE"""),100)</f>
        <v>100</v>
      </c>
      <c r="E309" s="0" t="n">
        <f aca="false">IFERROR(__xludf.dummyfunction("""COMPUTED_VALUE"""),30)</f>
        <v>30</v>
      </c>
      <c r="F309" s="0" t="str">
        <f aca="false">IFERROR(__xludf.dummyfunction("filter(Formulas!$C:$C,Formulas!$A:$A=B309)"),"""formula"":[{""sku"":""1006"",""req"":1}]")</f>
        <v>"formula":[{"sku":"1006","req":1}]</v>
      </c>
      <c r="G309" s="0" t="n">
        <f aca="false">IFERROR(__xludf.dummyfunction("""COMPUTED_VALUE"""),4)</f>
        <v>4</v>
      </c>
      <c r="H309" s="21" t="str">
        <f aca="false">IFERROR(__xludf.dummyfunction("IF(D309,filter(Productos!AC:AC,Productos!A:A=B309),)"),"fabrica")</f>
        <v>fabrica</v>
      </c>
      <c r="I309" s="24" t="str">
        <f aca="false">IFERROR(__xludf.dummyfunction("""COMPUTED_VALUE"""),"")</f>
        <v/>
      </c>
      <c r="K309" s="0" t="e">
        <f aca="false">IF(D309,"{""sku"":"""&amp;B309&amp;""", ""costo"":"&amp;C309&amp;", ""grupo"":"""&amp;A309&amp;""", ""lote"":"&amp;D309&amp;", ""tiempo"":"&amp;E309&amp;", "&amp;F309&amp;", ""vencimiento"":"&amp;G309&amp;IF(I309,", ""precio"":"&amp;I309,)&amp;", ""tipo"":"""&amp;H309&amp;"""},",)</f>
        <v>#VALUE!</v>
      </c>
    </row>
    <row r="310" customFormat="false" ht="13" hidden="false" customHeight="false" outlineLevel="0" collapsed="false">
      <c r="A310" s="16" t="n">
        <v>5</v>
      </c>
      <c r="B310" s="0" t="n">
        <f aca="false">IFERROR(__xludf.dummyfunction("""COMPUTED_VALUE"""),1107)</f>
        <v>1107</v>
      </c>
      <c r="C310" s="24" t="n">
        <f aca="false">IFERROR(__xludf.dummyfunction("""COMPUTED_VALUE"""),10)</f>
        <v>10</v>
      </c>
      <c r="D310" s="0" t="n">
        <f aca="false">IFERROR(__xludf.dummyfunction("""COMPUTED_VALUE"""),11)</f>
        <v>11</v>
      </c>
      <c r="E310" s="0" t="n">
        <f aca="false">IFERROR(__xludf.dummyfunction("""COMPUTED_VALUE"""),20)</f>
        <v>20</v>
      </c>
      <c r="F310" s="0" t="str">
        <f aca="false">IFERROR(__xludf.dummyfunction("filter(Formulas!$C:$C,Formulas!$A:$A=B310)"),"""formula"":[{""sku"":""1007"",""req"":1}]")</f>
        <v>"formula":[{"sku":"1007","req":1}]</v>
      </c>
      <c r="G310" s="0" t="n">
        <f aca="false">IFERROR(__xludf.dummyfunction("""COMPUTED_VALUE"""),2)</f>
        <v>2</v>
      </c>
      <c r="H310" s="21" t="str">
        <f aca="false">IFERROR(__xludf.dummyfunction("IF(D310,filter(Productos!AC:AC,Productos!A:A=B310),)"),"fabrica")</f>
        <v>fabrica</v>
      </c>
      <c r="I310" s="24" t="str">
        <f aca="false">IFERROR(__xludf.dummyfunction("""COMPUTED_VALUE"""),"")</f>
        <v/>
      </c>
      <c r="K310" s="0" t="e">
        <f aca="false">IF(D310,"{""sku"":"""&amp;B310&amp;""", ""costo"":"&amp;C310&amp;", ""grupo"":"""&amp;A310&amp;""", ""lote"":"&amp;D310&amp;", ""tiempo"":"&amp;E310&amp;", "&amp;F310&amp;", ""vencimiento"":"&amp;G310&amp;IF(I310,", ""precio"":"&amp;I310,)&amp;", ""tipo"":"""&amp;H310&amp;"""},",)</f>
        <v>#VALUE!</v>
      </c>
    </row>
    <row r="311" customFormat="false" ht="13" hidden="false" customHeight="false" outlineLevel="0" collapsed="false">
      <c r="A311" s="17" t="n">
        <v>5</v>
      </c>
      <c r="B311" s="0" t="n">
        <f aca="false">IFERROR(__xludf.dummyfunction("""COMPUTED_VALUE"""),1108)</f>
        <v>1108</v>
      </c>
      <c r="C311" s="24" t="n">
        <f aca="false">IFERROR(__xludf.dummyfunction("""COMPUTED_VALUE"""),10)</f>
        <v>10</v>
      </c>
      <c r="D311" s="0" t="n">
        <f aca="false">IFERROR(__xludf.dummyfunction("""COMPUTED_VALUE"""),6)</f>
        <v>6</v>
      </c>
      <c r="E311" s="0" t="n">
        <f aca="false">IFERROR(__xludf.dummyfunction("""COMPUTED_VALUE"""),20)</f>
        <v>20</v>
      </c>
      <c r="F311" s="0" t="str">
        <f aca="false">IFERROR(__xludf.dummyfunction("filter(Formulas!$C:$C,Formulas!$A:$A=B311)"),"""formula"":[{""sku"":""1008"",""req"":1}]")</f>
        <v>"formula":[{"sku":"1008","req":1}]</v>
      </c>
      <c r="G311" s="0" t="n">
        <f aca="false">IFERROR(__xludf.dummyfunction("""COMPUTED_VALUE"""),4)</f>
        <v>4</v>
      </c>
      <c r="H311" s="21" t="str">
        <f aca="false">IFERROR(__xludf.dummyfunction("IF(D311,filter(Productos!AC:AC,Productos!A:A=B311),)"),"fabrica")</f>
        <v>fabrica</v>
      </c>
      <c r="I311" s="24" t="str">
        <f aca="false">IFERROR(__xludf.dummyfunction("""COMPUTED_VALUE"""),"")</f>
        <v/>
      </c>
      <c r="K311" s="0" t="e">
        <f aca="false">IF(D311,"{""sku"":"""&amp;B311&amp;""", ""costo"":"&amp;C311&amp;", ""grupo"":"""&amp;A311&amp;""", ""lote"":"&amp;D311&amp;", ""tiempo"":"&amp;E311&amp;", "&amp;F311&amp;", ""vencimiento"":"&amp;G311&amp;IF(I311,", ""precio"":"&amp;I311,)&amp;", ""tipo"":"""&amp;H311&amp;"""},",)</f>
        <v>#VALUE!</v>
      </c>
    </row>
    <row r="312" customFormat="false" ht="13" hidden="false" customHeight="false" outlineLevel="0" collapsed="false">
      <c r="A312" s="16" t="n">
        <v>5</v>
      </c>
      <c r="B312" s="0" t="n">
        <f aca="false">IFERROR(__xludf.dummyfunction("""COMPUTED_VALUE"""),1109)</f>
        <v>1109</v>
      </c>
      <c r="C312" s="24" t="n">
        <f aca="false">IFERROR(__xludf.dummyfunction("""COMPUTED_VALUE"""),10)</f>
        <v>10</v>
      </c>
      <c r="D312" s="0" t="n">
        <f aca="false">IFERROR(__xludf.dummyfunction("""COMPUTED_VALUE"""),12)</f>
        <v>12</v>
      </c>
      <c r="E312" s="0" t="n">
        <f aca="false">IFERROR(__xludf.dummyfunction("""COMPUTED_VALUE"""),30)</f>
        <v>30</v>
      </c>
      <c r="F312" s="0" t="str">
        <f aca="false">IFERROR(__xludf.dummyfunction("filter(Formulas!$C:$C,Formulas!$A:$A=B312)"),"""formula"":[{""sku"":""1009"",""req"":1}]")</f>
        <v>"formula":[{"sku":"1009","req":1}]</v>
      </c>
      <c r="G312" s="0" t="n">
        <f aca="false">IFERROR(__xludf.dummyfunction("""COMPUTED_VALUE"""),1.5)</f>
        <v>1.5</v>
      </c>
      <c r="H312" s="21" t="str">
        <f aca="false">IFERROR(__xludf.dummyfunction("IF(D312,filter(Productos!AC:AC,Productos!A:A=B312),)"),"fabrica")</f>
        <v>fabrica</v>
      </c>
      <c r="I312" s="24" t="str">
        <f aca="false">IFERROR(__xludf.dummyfunction("""COMPUTED_VALUE"""),"")</f>
        <v/>
      </c>
      <c r="K312" s="0" t="e">
        <f aca="false">IF(D312,"{""sku"":"""&amp;B312&amp;""", ""costo"":"&amp;C312&amp;", ""grupo"":"""&amp;A312&amp;""", ""lote"":"&amp;D312&amp;", ""tiempo"":"&amp;E312&amp;", "&amp;F312&amp;", ""vencimiento"":"&amp;G312&amp;IF(I312,", ""precio"":"&amp;I312,)&amp;", ""tipo"":"""&amp;H312&amp;"""},",)</f>
        <v>#VALUE!</v>
      </c>
    </row>
    <row r="313" customFormat="false" ht="13" hidden="false" customHeight="false" outlineLevel="0" collapsed="false">
      <c r="A313" s="17" t="n">
        <v>5</v>
      </c>
      <c r="B313" s="0" t="n">
        <f aca="false">IFERROR(__xludf.dummyfunction("""COMPUTED_VALUE"""),1110)</f>
        <v>1110</v>
      </c>
      <c r="C313" s="24" t="n">
        <f aca="false">IFERROR(__xludf.dummyfunction("""COMPUTED_VALUE"""),10)</f>
        <v>10</v>
      </c>
      <c r="D313" s="0" t="n">
        <f aca="false">IFERROR(__xludf.dummyfunction("""COMPUTED_VALUE"""),6)</f>
        <v>6</v>
      </c>
      <c r="E313" s="0" t="n">
        <f aca="false">IFERROR(__xludf.dummyfunction("""COMPUTED_VALUE"""),10)</f>
        <v>10</v>
      </c>
      <c r="F313" s="0" t="str">
        <f aca="false">IFERROR(__xludf.dummyfunction("filter(Formulas!$C:$C,Formulas!$A:$A=B313)"),"""formula"":[{""sku"":""1010"",""req"":1}]")</f>
        <v>"formula":[{"sku":"1010","req":1}]</v>
      </c>
      <c r="G313" s="0" t="n">
        <f aca="false">IFERROR(__xludf.dummyfunction("""COMPUTED_VALUE"""),2)</f>
        <v>2</v>
      </c>
      <c r="H313" s="21" t="str">
        <f aca="false">IFERROR(__xludf.dummyfunction("IF(D313,filter(Productos!AC:AC,Productos!A:A=B313),)"),"fabrica")</f>
        <v>fabrica</v>
      </c>
      <c r="I313" s="24" t="str">
        <f aca="false">IFERROR(__xludf.dummyfunction("""COMPUTED_VALUE"""),"")</f>
        <v/>
      </c>
      <c r="K313" s="0" t="e">
        <f aca="false">IF(D313,"{""sku"":"""&amp;B313&amp;""", ""costo"":"&amp;C313&amp;", ""grupo"":"""&amp;A313&amp;""", ""lote"":"&amp;D313&amp;", ""tiempo"":"&amp;E313&amp;", "&amp;F313&amp;", ""vencimiento"":"&amp;G313&amp;IF(I313,", ""precio"":"&amp;I313,)&amp;", ""tipo"":"""&amp;H313&amp;"""},",)</f>
        <v>#VALUE!</v>
      </c>
    </row>
    <row r="314" customFormat="false" ht="13" hidden="false" customHeight="false" outlineLevel="0" collapsed="false">
      <c r="A314" s="16" t="n">
        <v>5</v>
      </c>
      <c r="B314" s="0" t="n">
        <f aca="false">IFERROR(__xludf.dummyfunction("""COMPUTED_VALUE"""),1111)</f>
        <v>1111</v>
      </c>
      <c r="C314" s="24" t="n">
        <f aca="false">IFERROR(__xludf.dummyfunction("""COMPUTED_VALUE"""),120)</f>
        <v>120</v>
      </c>
      <c r="D314" s="0" t="n">
        <f aca="false">IFERROR(__xludf.dummyfunction("""COMPUTED_VALUE"""),2)</f>
        <v>2</v>
      </c>
      <c r="E314" s="0" t="n">
        <f aca="false">IFERROR(__xludf.dummyfunction("""COMPUTED_VALUE"""),30)</f>
        <v>30</v>
      </c>
      <c r="F314" s="0" t="str">
        <f aca="false">IFERROR(__xludf.dummyfunction("filter(Formulas!$C:$C,Formulas!$A:$A=B314)"),"""formula"":[{""sku"":""1011"",""req"":2}]")</f>
        <v>"formula":[{"sku":"1011","req":2}]</v>
      </c>
      <c r="G314" s="0" t="n">
        <f aca="false">IFERROR(__xludf.dummyfunction("""COMPUTED_VALUE"""),12)</f>
        <v>12</v>
      </c>
      <c r="H314" s="21" t="str">
        <f aca="false">IFERROR(__xludf.dummyfunction("IF(D314,filter(Productos!AC:AC,Productos!A:A=B314),)"),"fabrica")</f>
        <v>fabrica</v>
      </c>
      <c r="I314" s="24" t="str">
        <f aca="false">IFERROR(__xludf.dummyfunction("""COMPUTED_VALUE"""),"")</f>
        <v/>
      </c>
      <c r="K314" s="0" t="e">
        <f aca="false">IF(D314,"{""sku"":"""&amp;B314&amp;""", ""costo"":"&amp;C314&amp;", ""grupo"":"""&amp;A314&amp;""", ""lote"":"&amp;D314&amp;", ""tiempo"":"&amp;E314&amp;", "&amp;F314&amp;", ""vencimiento"":"&amp;G314&amp;IF(I314,", ""precio"":"&amp;I314,)&amp;", ""tipo"":"""&amp;H314&amp;"""},",)</f>
        <v>#VALUE!</v>
      </c>
    </row>
    <row r="315" customFormat="false" ht="13" hidden="false" customHeight="false" outlineLevel="0" collapsed="false">
      <c r="A315" s="17" t="n">
        <v>5</v>
      </c>
      <c r="B315" s="0" t="n">
        <f aca="false">IFERROR(__xludf.dummyfunction("""COMPUTED_VALUE"""),1112)</f>
        <v>1112</v>
      </c>
      <c r="C315" s="24" t="n">
        <f aca="false">IFERROR(__xludf.dummyfunction("""COMPUTED_VALUE"""),10)</f>
        <v>10</v>
      </c>
      <c r="D315" s="0" t="n">
        <f aca="false">IFERROR(__xludf.dummyfunction("""COMPUTED_VALUE"""),20)</f>
        <v>20</v>
      </c>
      <c r="E315" s="0" t="n">
        <f aca="false">IFERROR(__xludf.dummyfunction("""COMPUTED_VALUE"""),10)</f>
        <v>10</v>
      </c>
      <c r="F315" s="0" t="str">
        <f aca="false">IFERROR(__xludf.dummyfunction("filter(Formulas!$C:$C,Formulas!$A:$A=B315)"),"""formula"":[{""sku"":""1012"",""req"":1}]")</f>
        <v>"formula":[{"sku":"1012","req":1}]</v>
      </c>
      <c r="G315" s="0" t="n">
        <f aca="false">IFERROR(__xludf.dummyfunction("""COMPUTED_VALUE"""),24)</f>
        <v>24</v>
      </c>
      <c r="H315" s="21" t="str">
        <f aca="false">IFERROR(__xludf.dummyfunction("IF(D315,filter(Productos!AC:AC,Productos!A:A=B315),)"),"fabrica")</f>
        <v>fabrica</v>
      </c>
      <c r="I315" s="24" t="str">
        <f aca="false">IFERROR(__xludf.dummyfunction("""COMPUTED_VALUE"""),"")</f>
        <v/>
      </c>
      <c r="K315" s="0" t="e">
        <f aca="false">IF(D315,"{""sku"":"""&amp;B315&amp;""", ""costo"":"&amp;C315&amp;", ""grupo"":"""&amp;A315&amp;""", ""lote"":"&amp;D315&amp;", ""tiempo"":"&amp;E315&amp;", "&amp;F315&amp;", ""vencimiento"":"&amp;G315&amp;IF(I315,", ""precio"":"&amp;I315,)&amp;", ""tipo"":"""&amp;H315&amp;"""},",)</f>
        <v>#VALUE!</v>
      </c>
    </row>
    <row r="316" customFormat="false" ht="13" hidden="false" customHeight="false" outlineLevel="0" collapsed="false">
      <c r="A316" s="16" t="n">
        <v>5</v>
      </c>
      <c r="B316" s="0" t="n">
        <f aca="false">IFERROR(__xludf.dummyfunction("""COMPUTED_VALUE"""),1114)</f>
        <v>1114</v>
      </c>
      <c r="C316" s="24" t="n">
        <f aca="false">IFERROR(__xludf.dummyfunction("""COMPUTED_VALUE"""),10)</f>
        <v>10</v>
      </c>
      <c r="D316" s="0" t="n">
        <f aca="false">IFERROR(__xludf.dummyfunction("""COMPUTED_VALUE"""),4)</f>
        <v>4</v>
      </c>
      <c r="E316" s="0" t="n">
        <f aca="false">IFERROR(__xludf.dummyfunction("""COMPUTED_VALUE"""),10)</f>
        <v>10</v>
      </c>
      <c r="F316" s="0" t="str">
        <f aca="false">IFERROR(__xludf.dummyfunction("filter(Formulas!$C:$C,Formulas!$A:$A=B316)"),"""formula"":[{""sku"":""1014"",""req"":1}]")</f>
        <v>"formula":[{"sku":"1014","req":1}]</v>
      </c>
      <c r="G316" s="0" t="n">
        <f aca="false">IFERROR(__xludf.dummyfunction("""COMPUTED_VALUE"""),2)</f>
        <v>2</v>
      </c>
      <c r="H316" s="21" t="str">
        <f aca="false">IFERROR(__xludf.dummyfunction("IF(D316,filter(Productos!AC:AC,Productos!A:A=B316),)"),"fabrica")</f>
        <v>fabrica</v>
      </c>
      <c r="I316" s="24" t="str">
        <f aca="false">IFERROR(__xludf.dummyfunction("""COMPUTED_VALUE"""),"")</f>
        <v/>
      </c>
      <c r="K316" s="0" t="e">
        <f aca="false">IF(D316,"{""sku"":"""&amp;B316&amp;""", ""costo"":"&amp;C316&amp;", ""grupo"":"""&amp;A316&amp;""", ""lote"":"&amp;D316&amp;", ""tiempo"":"&amp;E316&amp;", "&amp;F316&amp;", ""vencimiento"":"&amp;G316&amp;IF(I316,", ""precio"":"&amp;I316,)&amp;", ""tipo"":"""&amp;H316&amp;"""},",)</f>
        <v>#VALUE!</v>
      </c>
    </row>
    <row r="317" customFormat="false" ht="13" hidden="false" customHeight="false" outlineLevel="0" collapsed="false">
      <c r="A317" s="17" t="n">
        <v>5</v>
      </c>
      <c r="B317" s="0" t="n">
        <f aca="false">IFERROR(__xludf.dummyfunction("""COMPUTED_VALUE"""),1115)</f>
        <v>1115</v>
      </c>
      <c r="C317" s="24" t="n">
        <f aca="false">IFERROR(__xludf.dummyfunction("""COMPUTED_VALUE"""),10)</f>
        <v>10</v>
      </c>
      <c r="D317" s="0" t="n">
        <f aca="false">IFERROR(__xludf.dummyfunction("""COMPUTED_VALUE"""),8)</f>
        <v>8</v>
      </c>
      <c r="E317" s="0" t="n">
        <f aca="false">IFERROR(__xludf.dummyfunction("""COMPUTED_VALUE"""),10)</f>
        <v>10</v>
      </c>
      <c r="F317" s="0" t="str">
        <f aca="false">IFERROR(__xludf.dummyfunction("filter(Formulas!$C:$C,Formulas!$A:$A=B317)"),"""formula"":[{""sku"":""1015"",""req"":2}]")</f>
        <v>"formula":[{"sku":"1015","req":2}]</v>
      </c>
      <c r="G317" s="0" t="n">
        <f aca="false">IFERROR(__xludf.dummyfunction("""COMPUTED_VALUE"""),3)</f>
        <v>3</v>
      </c>
      <c r="H317" s="21" t="str">
        <f aca="false">IFERROR(__xludf.dummyfunction("IF(D317,filter(Productos!AC:AC,Productos!A:A=B317),)"),"fabrica")</f>
        <v>fabrica</v>
      </c>
      <c r="I317" s="24" t="str">
        <f aca="false">IFERROR(__xludf.dummyfunction("""COMPUTED_VALUE"""),"")</f>
        <v/>
      </c>
      <c r="K317" s="0" t="e">
        <f aca="false">IF(D317,"{""sku"":"""&amp;B317&amp;""", ""costo"":"&amp;C317&amp;", ""grupo"":"""&amp;A317&amp;""", ""lote"":"&amp;D317&amp;", ""tiempo"":"&amp;E317&amp;", "&amp;F317&amp;", ""vencimiento"":"&amp;G317&amp;IF(I317,", ""precio"":"&amp;I317,)&amp;", ""tipo"":"""&amp;H317&amp;"""},",)</f>
        <v>#VALUE!</v>
      </c>
    </row>
    <row r="318" customFormat="false" ht="13" hidden="false" customHeight="false" outlineLevel="0" collapsed="false">
      <c r="A318" s="16" t="n">
        <v>5</v>
      </c>
      <c r="B318" s="0" t="n">
        <f aca="false">IFERROR(__xludf.dummyfunction("""COMPUTED_VALUE"""),1116)</f>
        <v>1116</v>
      </c>
      <c r="C318" s="24" t="n">
        <f aca="false">IFERROR(__xludf.dummyfunction("""COMPUTED_VALUE"""),10)</f>
        <v>10</v>
      </c>
      <c r="D318" s="0" t="n">
        <f aca="false">IFERROR(__xludf.dummyfunction("""COMPUTED_VALUE"""),10)</f>
        <v>10</v>
      </c>
      <c r="E318" s="0" t="n">
        <f aca="false">IFERROR(__xludf.dummyfunction("""COMPUTED_VALUE"""),40)</f>
        <v>40</v>
      </c>
      <c r="F318" s="0" t="str">
        <f aca="false">IFERROR(__xludf.dummyfunction("filter(Formulas!$C:$C,Formulas!$A:$A=B318)"),"""formula"":[{""sku"":""1016"",""req"":11}]")</f>
        <v>"formula":[{"sku":"1016","req":11}]</v>
      </c>
      <c r="G318" s="0" t="n">
        <f aca="false">IFERROR(__xludf.dummyfunction("""COMPUTED_VALUE"""),24)</f>
        <v>24</v>
      </c>
      <c r="H318" s="21" t="str">
        <f aca="false">IFERROR(__xludf.dummyfunction("IF(D318,filter(Productos!AC:AC,Productos!A:A=B318),)"),"fabrica")</f>
        <v>fabrica</v>
      </c>
      <c r="I318" s="0" t="str">
        <f aca="false">IFERROR(__xludf.dummyfunction("""COMPUTED_VALUE"""),"")</f>
        <v/>
      </c>
      <c r="K318" s="0" t="e">
        <f aca="false">IF(D318,"{""sku"":"""&amp;B318&amp;""", ""costo"":"&amp;C318&amp;", ""grupo"":"""&amp;A318&amp;""", ""lote"":"&amp;D318&amp;", ""tiempo"":"&amp;E318&amp;", "&amp;F318&amp;", ""vencimiento"":"&amp;G318&amp;IF(I318,", ""precio"":"&amp;I318,)&amp;", ""tipo"":"""&amp;H318&amp;"""},",)</f>
        <v>#VALUE!</v>
      </c>
    </row>
    <row r="319" customFormat="false" ht="13" hidden="false" customHeight="false" outlineLevel="0" collapsed="false">
      <c r="A319" s="17" t="n">
        <v>5</v>
      </c>
      <c r="B319" s="0" t="n">
        <f aca="false">IFERROR(__xludf.dummyfunction("""COMPUTED_VALUE"""),1201)</f>
        <v>1201</v>
      </c>
      <c r="C319" s="24" t="n">
        <f aca="false">IFERROR(__xludf.dummyfunction("""COMPUTED_VALUE"""),10)</f>
        <v>10</v>
      </c>
      <c r="D319" s="0" t="n">
        <f aca="false">IFERROR(__xludf.dummyfunction("""COMPUTED_VALUE"""),10)</f>
        <v>10</v>
      </c>
      <c r="E319" s="0" t="n">
        <f aca="false">IFERROR(__xludf.dummyfunction("""COMPUTED_VALUE"""),10)</f>
        <v>10</v>
      </c>
      <c r="F319" s="0" t="str">
        <f aca="false">IFERROR(__xludf.dummyfunction("filter(Formulas!$C:$C,Formulas!$A:$A=B319)"),"""formula"":[{""sku"":""1101"",""req"":1}]")</f>
        <v>"formula":[{"sku":"1101","req":1}]</v>
      </c>
      <c r="G319" s="0" t="n">
        <f aca="false">IFERROR(__xludf.dummyfunction("""COMPUTED_VALUE"""),2)</f>
        <v>2</v>
      </c>
      <c r="H319" s="21" t="str">
        <f aca="false">IFERROR(__xludf.dummyfunction("IF(D319,filter(Productos!AC:AC,Productos!A:A=B319),)"),"fabrica")</f>
        <v>fabrica</v>
      </c>
      <c r="I319" s="24" t="str">
        <f aca="false">IFERROR(__xludf.dummyfunction("""COMPUTED_VALUE"""),"")</f>
        <v/>
      </c>
      <c r="K319" s="0" t="e">
        <f aca="false">IF(D319,"{""sku"":"""&amp;B319&amp;""", ""costo"":"&amp;C319&amp;", ""grupo"":"""&amp;A319&amp;""", ""lote"":"&amp;D319&amp;", ""tiempo"":"&amp;E319&amp;", "&amp;F319&amp;", ""vencimiento"":"&amp;G319&amp;IF(I319,", ""precio"":"&amp;I319,)&amp;", ""tipo"":"""&amp;H319&amp;"""},",)</f>
        <v>#VALUE!</v>
      </c>
    </row>
    <row r="320" customFormat="false" ht="13" hidden="false" customHeight="false" outlineLevel="0" collapsed="false">
      <c r="A320" s="16" t="n">
        <v>5</v>
      </c>
      <c r="B320" s="0" t="n">
        <f aca="false">IFERROR(__xludf.dummyfunction("""COMPUTED_VALUE"""),1207)</f>
        <v>1207</v>
      </c>
      <c r="C320" s="24" t="n">
        <f aca="false">IFERROR(__xludf.dummyfunction("""COMPUTED_VALUE"""),30)</f>
        <v>30</v>
      </c>
      <c r="D320" s="0" t="n">
        <f aca="false">IFERROR(__xludf.dummyfunction("""COMPUTED_VALUE"""),12)</f>
        <v>12</v>
      </c>
      <c r="E320" s="0" t="n">
        <f aca="false">IFERROR(__xludf.dummyfunction("""COMPUTED_VALUE"""),20)</f>
        <v>20</v>
      </c>
      <c r="F320" s="0" t="str">
        <f aca="false">IFERROR(__xludf.dummyfunction("filter(Formulas!$C:$C,Formulas!$A:$A=B320)"),"""formula"":[{""sku"":""1007"",""req"":1}]")</f>
        <v>"formula":[{"sku":"1007","req":1}]</v>
      </c>
      <c r="G320" s="0" t="n">
        <f aca="false">IFERROR(__xludf.dummyfunction("""COMPUTED_VALUE"""),2)</f>
        <v>2</v>
      </c>
      <c r="H320" s="21" t="str">
        <f aca="false">IFERROR(__xludf.dummyfunction("IF(D320,filter(Productos!AC:AC,Productos!A:A=B320),)"),"fabrica")</f>
        <v>fabrica</v>
      </c>
      <c r="I320" s="24" t="str">
        <f aca="false">IFERROR(__xludf.dummyfunction("""COMPUTED_VALUE"""),"")</f>
        <v/>
      </c>
      <c r="K320" s="0" t="e">
        <f aca="false">IF(D320,"{""sku"":"""&amp;B320&amp;""", ""costo"":"&amp;C320&amp;", ""grupo"":"""&amp;A320&amp;""", ""lote"":"&amp;D320&amp;", ""tiempo"":"&amp;E320&amp;", "&amp;F320&amp;", ""vencimiento"":"&amp;G320&amp;IF(I320,", ""precio"":"&amp;I320,)&amp;", ""tipo"":"""&amp;H320&amp;"""},",)</f>
        <v>#VALUE!</v>
      </c>
    </row>
    <row r="321" customFormat="false" ht="13" hidden="false" customHeight="false" outlineLevel="0" collapsed="false">
      <c r="A321" s="17" t="n">
        <v>5</v>
      </c>
      <c r="B321" s="0" t="n">
        <f aca="false">IFERROR(__xludf.dummyfunction("""COMPUTED_VALUE"""),1209)</f>
        <v>1209</v>
      </c>
      <c r="C321" s="24" t="n">
        <f aca="false">IFERROR(__xludf.dummyfunction("""COMPUTED_VALUE"""),30)</f>
        <v>30</v>
      </c>
      <c r="D321" s="0" t="n">
        <f aca="false">IFERROR(__xludf.dummyfunction("""COMPUTED_VALUE"""),14)</f>
        <v>14</v>
      </c>
      <c r="E321" s="0" t="n">
        <f aca="false">IFERROR(__xludf.dummyfunction("""COMPUTED_VALUE"""),30)</f>
        <v>30</v>
      </c>
      <c r="F321" s="0" t="str">
        <f aca="false">IFERROR(__xludf.dummyfunction("filter(Formulas!$C:$C,Formulas!$A:$A=B321)"),"""formula"":[{""sku"":""1009"",""req"":1}]")</f>
        <v>"formula":[{"sku":"1009","req":1}]</v>
      </c>
      <c r="G321" s="0" t="n">
        <f aca="false">IFERROR(__xludf.dummyfunction("""COMPUTED_VALUE"""),1.5)</f>
        <v>1.5</v>
      </c>
      <c r="H321" s="21" t="str">
        <f aca="false">IFERROR(__xludf.dummyfunction("IF(D321,filter(Productos!AC:AC,Productos!A:A=B321),)"),"fabrica")</f>
        <v>fabrica</v>
      </c>
      <c r="I321" s="24" t="str">
        <f aca="false">IFERROR(__xludf.dummyfunction("""COMPUTED_VALUE"""),"")</f>
        <v/>
      </c>
      <c r="K321" s="0" t="e">
        <f aca="false">IF(D321,"{""sku"":"""&amp;B321&amp;""", ""costo"":"&amp;C321&amp;", ""grupo"":"""&amp;A321&amp;""", ""lote"":"&amp;D321&amp;", ""tiempo"":"&amp;E321&amp;", "&amp;F321&amp;", ""vencimiento"":"&amp;G321&amp;IF(I321,", ""precio"":"&amp;I321,)&amp;", ""tipo"":"""&amp;H321&amp;"""},",)</f>
        <v>#VALUE!</v>
      </c>
    </row>
    <row r="322" customFormat="false" ht="13" hidden="false" customHeight="false" outlineLevel="0" collapsed="false">
      <c r="A322" s="16" t="n">
        <v>5</v>
      </c>
      <c r="B322" s="0" t="n">
        <f aca="false">IFERROR(__xludf.dummyfunction("""COMPUTED_VALUE"""),1210)</f>
        <v>1210</v>
      </c>
      <c r="C322" s="24" t="n">
        <f aca="false">IFERROR(__xludf.dummyfunction("""COMPUTED_VALUE"""),10)</f>
        <v>10</v>
      </c>
      <c r="D322" s="0" t="n">
        <f aca="false">IFERROR(__xludf.dummyfunction("""COMPUTED_VALUE"""),9)</f>
        <v>9</v>
      </c>
      <c r="E322" s="0" t="n">
        <f aca="false">IFERROR(__xludf.dummyfunction("""COMPUTED_VALUE"""),10)</f>
        <v>10</v>
      </c>
      <c r="F322" s="0" t="str">
        <f aca="false">IFERROR(__xludf.dummyfunction("filter(Formulas!$C:$C,Formulas!$A:$A=B322)"),"""formula"":[{""sku"":""1010"",""req"":1}]")</f>
        <v>"formula":[{"sku":"1010","req":1}]</v>
      </c>
      <c r="G322" s="0" t="n">
        <f aca="false">IFERROR(__xludf.dummyfunction("""COMPUTED_VALUE"""),2.3)</f>
        <v>2.3</v>
      </c>
      <c r="H322" s="21" t="str">
        <f aca="false">IFERROR(__xludf.dummyfunction("IF(D322,filter(Productos!AC:AC,Productos!A:A=B322),)"),"fabrica")</f>
        <v>fabrica</v>
      </c>
      <c r="I322" s="24" t="str">
        <f aca="false">IFERROR(__xludf.dummyfunction("""COMPUTED_VALUE"""),"")</f>
        <v/>
      </c>
      <c r="K322" s="0" t="e">
        <f aca="false">IF(D322,"{""sku"":"""&amp;B322&amp;""", ""costo"":"&amp;C322&amp;", ""grupo"":"""&amp;A322&amp;""", ""lote"":"&amp;D322&amp;", ""tiempo"":"&amp;E322&amp;", "&amp;F322&amp;", ""vencimiento"":"&amp;G322&amp;IF(I322,", ""precio"":"&amp;I322,)&amp;", ""tipo"":"""&amp;H322&amp;"""},",)</f>
        <v>#VALUE!</v>
      </c>
    </row>
    <row r="323" customFormat="false" ht="13" hidden="false" customHeight="false" outlineLevel="0" collapsed="false">
      <c r="A323" s="17" t="n">
        <v>5</v>
      </c>
      <c r="B323" s="0" t="n">
        <f aca="false">IFERROR(__xludf.dummyfunction("""COMPUTED_VALUE"""),1211)</f>
        <v>1211</v>
      </c>
      <c r="C323" s="24" t="n">
        <f aca="false">IFERROR(__xludf.dummyfunction("""COMPUTED_VALUE"""),10)</f>
        <v>10</v>
      </c>
      <c r="D323" s="0" t="n">
        <f aca="false">IFERROR(__xludf.dummyfunction("""COMPUTED_VALUE"""),10)</f>
        <v>10</v>
      </c>
      <c r="E323" s="0" t="n">
        <f aca="false">IFERROR(__xludf.dummyfunction("""COMPUTED_VALUE"""),10)</f>
        <v>10</v>
      </c>
      <c r="F323" s="0" t="str">
        <f aca="false">IFERROR(__xludf.dummyfunction("filter(Formulas!$C:$C,Formulas!$A:$A=B323)"),"""formula"":[{""sku"":""1111"",""req"":1}]")</f>
        <v>"formula":[{"sku":"1111","req":1}]</v>
      </c>
      <c r="G323" s="0" t="n">
        <f aca="false">IFERROR(__xludf.dummyfunction("""COMPUTED_VALUE"""),12)</f>
        <v>12</v>
      </c>
      <c r="H323" s="21" t="str">
        <f aca="false">IFERROR(__xludf.dummyfunction("IF(D323,filter(Productos!AC:AC,Productos!A:A=B323),)"),"fabrica")</f>
        <v>fabrica</v>
      </c>
      <c r="I323" s="24" t="str">
        <f aca="false">IFERROR(__xludf.dummyfunction("""COMPUTED_VALUE"""),"")</f>
        <v/>
      </c>
      <c r="K323" s="0" t="e">
        <f aca="false">IF(D323,"{""sku"":"""&amp;B323&amp;""", ""costo"":"&amp;C323&amp;", ""grupo"":"""&amp;A323&amp;""", ""lote"":"&amp;D323&amp;", ""tiempo"":"&amp;E323&amp;", "&amp;F323&amp;", ""vencimiento"":"&amp;G323&amp;IF(I323,", ""precio"":"&amp;I323,)&amp;", ""tipo"":"""&amp;H323&amp;"""},",)</f>
        <v>#VALUE!</v>
      </c>
    </row>
    <row r="324" customFormat="false" ht="13" hidden="false" customHeight="false" outlineLevel="0" collapsed="false">
      <c r="A324" s="16" t="n">
        <v>5</v>
      </c>
      <c r="B324" s="0" t="n">
        <f aca="false">IFERROR(__xludf.dummyfunction("""COMPUTED_VALUE"""),1215)</f>
        <v>1215</v>
      </c>
      <c r="C324" s="24" t="n">
        <f aca="false">IFERROR(__xludf.dummyfunction("""COMPUTED_VALUE"""),0)</f>
        <v>0</v>
      </c>
      <c r="D324" s="0" t="n">
        <f aca="false">IFERROR(__xludf.dummyfunction("""COMPUTED_VALUE"""),8)</f>
        <v>8</v>
      </c>
      <c r="E324" s="0" t="n">
        <f aca="false">IFERROR(__xludf.dummyfunction("""COMPUTED_VALUE"""),10)</f>
        <v>10</v>
      </c>
      <c r="F324" s="0" t="str">
        <f aca="false">IFERROR(__xludf.dummyfunction("filter(Formulas!$C:$C,Formulas!$A:$A=B324)"),"""formula"":[{""sku"":""1015"",""req"":4}]")</f>
        <v>"formula":[{"sku":"1015","req":4}]</v>
      </c>
      <c r="G324" s="0" t="n">
        <f aca="false">IFERROR(__xludf.dummyfunction("""COMPUTED_VALUE"""),3)</f>
        <v>3</v>
      </c>
      <c r="H324" s="21" t="str">
        <f aca="false">IFERROR(__xludf.dummyfunction("IF(D324,filter(Productos!AC:AC,Productos!A:A=B324),)"),"fabrica")</f>
        <v>fabrica</v>
      </c>
      <c r="I324" s="24" t="str">
        <f aca="false">IFERROR(__xludf.dummyfunction("""COMPUTED_VALUE"""),"")</f>
        <v/>
      </c>
      <c r="K324" s="0" t="e">
        <f aca="false">IF(D324,"{""sku"":"""&amp;B324&amp;""", ""costo"":"&amp;C324&amp;", ""grupo"":"""&amp;A324&amp;""", ""lote"":"&amp;D324&amp;", ""tiempo"":"&amp;E324&amp;", "&amp;F324&amp;", ""vencimiento"":"&amp;G324&amp;IF(I324,", ""precio"":"&amp;I324,)&amp;", ""tipo"":"""&amp;H324&amp;"""},",)</f>
        <v>#VALUE!</v>
      </c>
    </row>
    <row r="325" customFormat="false" ht="13" hidden="false" customHeight="false" outlineLevel="0" collapsed="false">
      <c r="A325" s="17" t="n">
        <v>5</v>
      </c>
      <c r="B325" s="0" t="n">
        <f aca="false">IFERROR(__xludf.dummyfunction("""COMPUTED_VALUE"""),1216)</f>
        <v>1216</v>
      </c>
      <c r="C325" s="24" t="n">
        <f aca="false">IFERROR(__xludf.dummyfunction("""COMPUTED_VALUE"""),10)</f>
        <v>10</v>
      </c>
      <c r="D325" s="0" t="n">
        <f aca="false">IFERROR(__xludf.dummyfunction("""COMPUTED_VALUE"""),10)</f>
        <v>10</v>
      </c>
      <c r="E325" s="0" t="n">
        <f aca="false">IFERROR(__xludf.dummyfunction("""COMPUTED_VALUE"""),30)</f>
        <v>30</v>
      </c>
      <c r="F325" s="0" t="str">
        <f aca="false">IFERROR(__xludf.dummyfunction("filter(Formulas!$C:$C,Formulas!$A:$A=B325)"),"""formula"":[{""sku"":""1016"",""req"":2}]")</f>
        <v>"formula":[{"sku":"1016","req":2}]</v>
      </c>
      <c r="G325" s="0" t="n">
        <f aca="false">IFERROR(__xludf.dummyfunction("""COMPUTED_VALUE"""),24)</f>
        <v>24</v>
      </c>
      <c r="H325" s="21" t="str">
        <f aca="false">IFERROR(__xludf.dummyfunction("IF(D325,filter(Productos!AC:AC,Productos!A:A=B325),)"),"fabrica")</f>
        <v>fabrica</v>
      </c>
      <c r="I325" s="0" t="str">
        <f aca="false">IFERROR(__xludf.dummyfunction("""COMPUTED_VALUE"""),"")</f>
        <v/>
      </c>
      <c r="K325" s="0" t="e">
        <f aca="false">IF(D325,"{""sku"":"""&amp;B325&amp;""", ""costo"":"&amp;C325&amp;", ""grupo"":"""&amp;A325&amp;""", ""lote"":"&amp;D325&amp;", ""tiempo"":"&amp;E325&amp;", "&amp;F325&amp;", ""vencimiento"":"&amp;G325&amp;IF(I325,", ""precio"":"&amp;I325,)&amp;", ""tipo"":"""&amp;H325&amp;"""},",)</f>
        <v>#VALUE!</v>
      </c>
    </row>
    <row r="326" customFormat="false" ht="13" hidden="false" customHeight="false" outlineLevel="0" collapsed="false">
      <c r="A326" s="16" t="n">
        <v>5</v>
      </c>
      <c r="B326" s="0" t="n">
        <f aca="false">IFERROR(__xludf.dummyfunction("""COMPUTED_VALUE"""),1301)</f>
        <v>1301</v>
      </c>
      <c r="C326" s="24" t="n">
        <f aca="false">IFERROR(__xludf.dummyfunction("""COMPUTED_VALUE"""),10)</f>
        <v>10</v>
      </c>
      <c r="D326" s="0" t="n">
        <f aca="false">IFERROR(__xludf.dummyfunction("""COMPUTED_VALUE"""),5)</f>
        <v>5</v>
      </c>
      <c r="E326" s="0" t="n">
        <f aca="false">IFERROR(__xludf.dummyfunction("""COMPUTED_VALUE"""),10)</f>
        <v>10</v>
      </c>
      <c r="F326" s="0" t="str">
        <f aca="false">IFERROR(__xludf.dummyfunction("filter(Formulas!$C:$C,Formulas!$A:$A=B326)"),"""formula"":[{""sku"":""1101"",""req"":1}]")</f>
        <v>"formula":[{"sku":"1101","req":1}]</v>
      </c>
      <c r="G326" s="0" t="n">
        <f aca="false">IFERROR(__xludf.dummyfunction("""COMPUTED_VALUE"""),2)</f>
        <v>2</v>
      </c>
      <c r="H326" s="21" t="str">
        <f aca="false">IFERROR(__xludf.dummyfunction("IF(D326,filter(Productos!AC:AC,Productos!A:A=B326),)"),"fabrica")</f>
        <v>fabrica</v>
      </c>
      <c r="I326" s="24" t="str">
        <f aca="false">IFERROR(__xludf.dummyfunction("""COMPUTED_VALUE"""),"")</f>
        <v/>
      </c>
      <c r="K326" s="0" t="e">
        <f aca="false">IF(D326,"{""sku"":"""&amp;B326&amp;""", ""costo"":"&amp;C326&amp;", ""grupo"":"""&amp;A326&amp;""", ""lote"":"&amp;D326&amp;", ""tiempo"":"&amp;E326&amp;", "&amp;F326&amp;", ""vencimiento"":"&amp;G326&amp;IF(I326,", ""precio"":"&amp;I326,)&amp;", ""tipo"":"""&amp;H326&amp;"""},",)</f>
        <v>#VALUE!</v>
      </c>
    </row>
    <row r="327" customFormat="false" ht="13" hidden="false" customHeight="false" outlineLevel="0" collapsed="false">
      <c r="A327" s="17" t="n">
        <v>5</v>
      </c>
      <c r="B327" s="0" t="n">
        <f aca="false">IFERROR(__xludf.dummyfunction("""COMPUTED_VALUE"""),1307)</f>
        <v>1307</v>
      </c>
      <c r="C327" s="24" t="n">
        <f aca="false">IFERROR(__xludf.dummyfunction("""COMPUTED_VALUE"""),50)</f>
        <v>50</v>
      </c>
      <c r="D327" s="0" t="n">
        <f aca="false">IFERROR(__xludf.dummyfunction("""COMPUTED_VALUE"""),11)</f>
        <v>11</v>
      </c>
      <c r="E327" s="0" t="n">
        <f aca="false">IFERROR(__xludf.dummyfunction("""COMPUTED_VALUE"""),30)</f>
        <v>30</v>
      </c>
      <c r="F327" s="0" t="str">
        <f aca="false">IFERROR(__xludf.dummyfunction("filter(Formulas!$C:$C,Formulas!$A:$A=B327)"),"""formula"":[{""sku"":""1007"",""req"":1}]")</f>
        <v>"formula":[{"sku":"1007","req":1}]</v>
      </c>
      <c r="G327" s="0" t="n">
        <f aca="false">IFERROR(__xludf.dummyfunction("""COMPUTED_VALUE"""),1.2)</f>
        <v>1.2</v>
      </c>
      <c r="H327" s="21" t="str">
        <f aca="false">IFERROR(__xludf.dummyfunction("IF(D327,filter(Productos!AC:AC,Productos!A:A=B327),)"),"fabrica")</f>
        <v>fabrica</v>
      </c>
      <c r="I327" s="24" t="str">
        <f aca="false">IFERROR(__xludf.dummyfunction("""COMPUTED_VALUE"""),"")</f>
        <v/>
      </c>
      <c r="K327" s="0" t="e">
        <f aca="false">IF(D327,"{""sku"":"""&amp;B327&amp;""", ""costo"":"&amp;C327&amp;", ""grupo"":"""&amp;A327&amp;""", ""lote"":"&amp;D327&amp;", ""tiempo"":"&amp;E327&amp;", "&amp;F327&amp;", ""vencimiento"":"&amp;G327&amp;IF(I327,", ""precio"":"&amp;I327,)&amp;", ""tipo"":"""&amp;H327&amp;"""},",)</f>
        <v>#VALUE!</v>
      </c>
    </row>
    <row r="328" customFormat="false" ht="13" hidden="false" customHeight="false" outlineLevel="0" collapsed="false">
      <c r="A328" s="16" t="n">
        <v>5</v>
      </c>
      <c r="B328" s="0" t="n">
        <f aca="false">IFERROR(__xludf.dummyfunction("""COMPUTED_VALUE"""),1309)</f>
        <v>1309</v>
      </c>
      <c r="C328" s="24" t="n">
        <f aca="false">IFERROR(__xludf.dummyfunction("""COMPUTED_VALUE"""),50)</f>
        <v>50</v>
      </c>
      <c r="D328" s="0" t="n">
        <f aca="false">IFERROR(__xludf.dummyfunction("""COMPUTED_VALUE"""),11)</f>
        <v>11</v>
      </c>
      <c r="E328" s="0" t="n">
        <f aca="false">IFERROR(__xludf.dummyfunction("""COMPUTED_VALUE"""),50)</f>
        <v>50</v>
      </c>
      <c r="F328" s="0" t="str">
        <f aca="false">IFERROR(__xludf.dummyfunction("filter(Formulas!$C:$C,Formulas!$A:$A=B328)"),"""formula"":[{""sku"":""1009"",""req"":1}]")</f>
        <v>"formula":[{"sku":"1009","req":1}]</v>
      </c>
      <c r="G328" s="0" t="n">
        <f aca="false">IFERROR(__xludf.dummyfunction("""COMPUTED_VALUE"""),1.2)</f>
        <v>1.2</v>
      </c>
      <c r="H328" s="21" t="str">
        <f aca="false">IFERROR(__xludf.dummyfunction("IF(D328,filter(Productos!AC:AC,Productos!A:A=B328),)"),"fabrica")</f>
        <v>fabrica</v>
      </c>
      <c r="I328" s="24" t="str">
        <f aca="false">IFERROR(__xludf.dummyfunction("""COMPUTED_VALUE"""),"")</f>
        <v/>
      </c>
      <c r="K328" s="0" t="e">
        <f aca="false">IF(D328,"{""sku"":"""&amp;B328&amp;""", ""costo"":"&amp;C328&amp;", ""grupo"":"""&amp;A328&amp;""", ""lote"":"&amp;D328&amp;", ""tiempo"":"&amp;E328&amp;", "&amp;F328&amp;", ""vencimiento"":"&amp;G328&amp;IF(I328,", ""precio"":"&amp;I328,)&amp;", ""tipo"":"""&amp;H328&amp;"""},",)</f>
        <v>#VALUE!</v>
      </c>
    </row>
    <row r="329" customFormat="false" ht="13" hidden="false" customHeight="false" outlineLevel="0" collapsed="false">
      <c r="A329" s="17" t="n">
        <v>5</v>
      </c>
      <c r="B329" s="0" t="n">
        <f aca="false">IFERROR(__xludf.dummyfunction("""COMPUTED_VALUE"""),1310)</f>
        <v>1310</v>
      </c>
      <c r="C329" s="24" t="n">
        <f aca="false">IFERROR(__xludf.dummyfunction("""COMPUTED_VALUE"""),10)</f>
        <v>10</v>
      </c>
      <c r="D329" s="0" t="n">
        <f aca="false">IFERROR(__xludf.dummyfunction("""COMPUTED_VALUE"""),12)</f>
        <v>12</v>
      </c>
      <c r="E329" s="0" t="n">
        <f aca="false">IFERROR(__xludf.dummyfunction("""COMPUTED_VALUE"""),10)</f>
        <v>10</v>
      </c>
      <c r="F329" s="0" t="str">
        <f aca="false">IFERROR(__xludf.dummyfunction("filter(Formulas!$C:$C,Formulas!$A:$A=B329)"),"""formula"":[{""sku"":""1010"",""req"":1}]")</f>
        <v>"formula":[{"sku":"1010","req":1}]</v>
      </c>
      <c r="G329" s="0" t="n">
        <f aca="false">IFERROR(__xludf.dummyfunction("""COMPUTED_VALUE"""),2)</f>
        <v>2</v>
      </c>
      <c r="H329" s="21" t="str">
        <f aca="false">IFERROR(__xludf.dummyfunction("IF(D329,filter(Productos!AC:AC,Productos!A:A=B329),)"),"fabrica")</f>
        <v>fabrica</v>
      </c>
      <c r="I329" s="24" t="str">
        <f aca="false">IFERROR(__xludf.dummyfunction("""COMPUTED_VALUE"""),"")</f>
        <v/>
      </c>
      <c r="K329" s="0" t="e">
        <f aca="false">IF(D329,"{""sku"":"""&amp;B329&amp;""", ""costo"":"&amp;C329&amp;", ""grupo"":"""&amp;A329&amp;""", ""lote"":"&amp;D329&amp;", ""tiempo"":"&amp;E329&amp;", "&amp;F329&amp;", ""vencimiento"":"&amp;G329&amp;IF(I329,", ""precio"":"&amp;I329,)&amp;", ""tipo"":"""&amp;H329&amp;"""},",)</f>
        <v>#VALUE!</v>
      </c>
    </row>
    <row r="330" customFormat="false" ht="13" hidden="false" customHeight="false" outlineLevel="0" collapsed="false">
      <c r="A330" s="16" t="n">
        <v>5</v>
      </c>
      <c r="B330" s="0" t="n">
        <f aca="false">IFERROR(__xludf.dummyfunction("""COMPUTED_VALUE"""),1407)</f>
        <v>1407</v>
      </c>
      <c r="C330" s="24" t="n">
        <f aca="false">IFERROR(__xludf.dummyfunction("""COMPUTED_VALUE"""),10)</f>
        <v>10</v>
      </c>
      <c r="D330" s="0" t="n">
        <f aca="false">IFERROR(__xludf.dummyfunction("""COMPUTED_VALUE"""),14)</f>
        <v>14</v>
      </c>
      <c r="E330" s="0" t="n">
        <f aca="false">IFERROR(__xludf.dummyfunction("""COMPUTED_VALUE"""),30)</f>
        <v>30</v>
      </c>
      <c r="F330" s="0" t="str">
        <f aca="false">IFERROR(__xludf.dummyfunction("filter(Formulas!$C:$C,Formulas!$A:$A=B330)"),"""formula"":[{""sku"":""1007"",""req"":1}]")</f>
        <v>"formula":[{"sku":"1007","req":1}]</v>
      </c>
      <c r="G330" s="0" t="n">
        <f aca="false">IFERROR(__xludf.dummyfunction("""COMPUTED_VALUE"""),2)</f>
        <v>2</v>
      </c>
      <c r="H330" s="21" t="str">
        <f aca="false">IFERROR(__xludf.dummyfunction("IF(D330,filter(Productos!AC:AC,Productos!A:A=B330),)"),"fabrica")</f>
        <v>fabrica</v>
      </c>
      <c r="I330" s="24" t="str">
        <f aca="false">IFERROR(__xludf.dummyfunction("""COMPUTED_VALUE"""),"")</f>
        <v/>
      </c>
      <c r="K330" s="0" t="e">
        <f aca="false">IF(D330,"{""sku"":"""&amp;B330&amp;""", ""costo"":"&amp;C330&amp;", ""grupo"":"""&amp;A330&amp;""", ""lote"":"&amp;D330&amp;", ""tiempo"":"&amp;E330&amp;", "&amp;F330&amp;", ""vencimiento"":"&amp;G330&amp;IF(I330,", ""precio"":"&amp;I330,)&amp;", ""tipo"":"""&amp;H330&amp;"""},",)</f>
        <v>#VALUE!</v>
      </c>
    </row>
    <row r="331" customFormat="false" ht="13" hidden="false" customHeight="false" outlineLevel="0" collapsed="false">
      <c r="A331" s="17" t="n">
        <v>5</v>
      </c>
      <c r="B331" s="0" t="n">
        <f aca="false">IFERROR(__xludf.dummyfunction("""COMPUTED_VALUE"""),10001)</f>
        <v>10001</v>
      </c>
      <c r="C331" s="24" t="n">
        <f aca="false">IFERROR(__xludf.dummyfunction("""COMPUTED_VALUE"""),10)</f>
        <v>10</v>
      </c>
      <c r="D331" s="0" t="n">
        <f aca="false">IFERROR(__xludf.dummyfunction("""COMPUTED_VALUE"""),1)</f>
        <v>1</v>
      </c>
      <c r="E331" s="0" t="n">
        <f aca="false">IFERROR(__xludf.dummyfunction("""COMPUTED_VALUE"""),10)</f>
        <v>10</v>
      </c>
      <c r="F331" s="0" t="str">
        <f aca="false">IFERROR(__xludf.dummyfunction("filter(Formulas!$C:$C,Formulas!$A:$A=B331)"),"""formula"":[{""sku"":""1201"",""req"":1},{""sku"":""1105"",""req"":1},{""sku"":""1210"",""req"":1},{""sku"":""1211"",""req"":1},{""sku"":""1116"",""req"":1}]")</f>
        <v>"formula":[{"sku":"1201","req":1},{"sku":"1105","req":1},{"sku":"1210","req":1},{"sku":"1211","req":1},{"sku":"1116","req":1}]</v>
      </c>
      <c r="G331" s="0" t="n">
        <f aca="false">IFERROR(__xludf.dummyfunction("""COMPUTED_VALUE"""),1)</f>
        <v>1</v>
      </c>
      <c r="H331" s="21" t="str">
        <f aca="false">IFERROR(__xludf.dummyfunction("IF(D331,filter(Productos!AC:AC,Productos!A:A=B331),)"),"cocina")</f>
        <v>cocina</v>
      </c>
      <c r="I331" s="24" t="n">
        <f aca="false">IFERROR(__xludf.dummyfunction("""COMPUTED_VALUE"""),4500)</f>
        <v>4500</v>
      </c>
      <c r="K331" s="0" t="str">
        <f aca="false">IF(D331,"{""sku"":"""&amp;B331&amp;""", ""costo"":"&amp;C331&amp;", ""grupo"":"""&amp;A331&amp;""", ""lote"":"&amp;D331&amp;", ""tiempo"":"&amp;E331&amp;", "&amp;F331&amp;", ""vencimiento"":"&amp;G331&amp;IF(I331,", ""precio"":"&amp;I331,)&amp;", ""tipo"":"""&amp;H331&amp;"""},",)</f>
        <v>{"sku":"10001", "costo":10, "grupo":"5", "lote":1, "tiempo":10, "formula":[{"sku":"1201","req":1},{"sku":"1105","req":1},{"sku":"1210","req":1},{"sku":"1211","req":1},{"sku":"1116","req":1}], "vencimiento":1, "precio":4500, "tipo":"cocina"},</v>
      </c>
    </row>
    <row r="332" customFormat="false" ht="13" hidden="false" customHeight="false" outlineLevel="0" collapsed="false">
      <c r="A332" s="16" t="n">
        <v>5</v>
      </c>
      <c r="B332" s="0" t="n">
        <f aca="false">IFERROR(__xludf.dummyfunction("""COMPUTED_VALUE"""),10002)</f>
        <v>10002</v>
      </c>
      <c r="C332" s="24" t="n">
        <f aca="false">IFERROR(__xludf.dummyfunction("""COMPUTED_VALUE"""),10)</f>
        <v>10</v>
      </c>
      <c r="D332" s="0" t="n">
        <f aca="false">IFERROR(__xludf.dummyfunction("""COMPUTED_VALUE"""),1)</f>
        <v>1</v>
      </c>
      <c r="E332" s="0" t="n">
        <f aca="false">IFERROR(__xludf.dummyfunction("""COMPUTED_VALUE"""),20)</f>
        <v>20</v>
      </c>
      <c r="F332" s="0" t="str">
        <f aca="false">IFERROR(__xludf.dummyfunction("filter(Formulas!$C:$C,Formulas!$A:$A=B332)"),"""formula"":[{""sku"":""1201"",""req"":1},{""sku"":""1105"",""req"":1},{""sku"":""1013"",""req"":5},{""sku"":""1210"",""req"":1},{""sku"":""1116"",""req"":1}]")</f>
        <v>"formula":[{"sku":"1201","req":1},{"sku":"1105","req":1},{"sku":"1013","req":5},{"sku":"1210","req":1},{"sku":"1116","req":1}]</v>
      </c>
      <c r="G332" s="0" t="n">
        <f aca="false">IFERROR(__xludf.dummyfunction("""COMPUTED_VALUE"""),1)</f>
        <v>1</v>
      </c>
      <c r="H332" s="21" t="str">
        <f aca="false">IFERROR(__xludf.dummyfunction("IF(D332,filter(Productos!AC:AC,Productos!A:A=B332),)"),"cocina")</f>
        <v>cocina</v>
      </c>
      <c r="I332" s="24" t="n">
        <f aca="false">IFERROR(__xludf.dummyfunction("""COMPUTED_VALUE"""),4500)</f>
        <v>4500</v>
      </c>
      <c r="K332" s="0" t="str">
        <f aca="false">IF(D332,"{""sku"":"""&amp;B332&amp;""", ""costo"":"&amp;C332&amp;", ""grupo"":"""&amp;A332&amp;""", ""lote"":"&amp;D332&amp;", ""tiempo"":"&amp;E332&amp;", "&amp;F332&amp;", ""vencimiento"":"&amp;G332&amp;IF(I332,", ""precio"":"&amp;I332,)&amp;", ""tipo"":"""&amp;H332&amp;"""},",)</f>
        <v>{"sku":"10002", "costo":10, "grupo":"5", "lote":1, "tiempo":20, "formula":[{"sku":"1201","req":1},{"sku":"1105","req":1},{"sku":"1013","req":5},{"sku":"1210","req":1},{"sku":"1116","req":1}], "vencimiento":1, "precio":4500, "tipo":"cocina"},</v>
      </c>
    </row>
    <row r="333" customFormat="false" ht="13" hidden="false" customHeight="false" outlineLevel="0" collapsed="false">
      <c r="A333" s="17" t="n">
        <v>5</v>
      </c>
      <c r="B333" s="0" t="n">
        <f aca="false">IFERROR(__xludf.dummyfunction("""COMPUTED_VALUE"""),10003)</f>
        <v>10003</v>
      </c>
      <c r="C333" s="24" t="n">
        <f aca="false">IFERROR(__xludf.dummyfunction("""COMPUTED_VALUE"""),10)</f>
        <v>10</v>
      </c>
      <c r="D333" s="0" t="n">
        <f aca="false">IFERROR(__xludf.dummyfunction("""COMPUTED_VALUE"""),1)</f>
        <v>1</v>
      </c>
      <c r="E333" s="0" t="n">
        <f aca="false">IFERROR(__xludf.dummyfunction("""COMPUTED_VALUE"""),30)</f>
        <v>30</v>
      </c>
      <c r="F333" s="0" t="str">
        <f aca="false">IFERROR(__xludf.dummyfunction("filter(Formulas!$C:$C,Formulas!$A:$A=B333)"),"""formula"":[{""sku"":""1201"",""req"":1},{""sku"":""1105"",""req"":1},{""sku"":""1013"",""req"":5},{""sku"":""1210"",""req"":1},{""sku"":""1211"",""req"":1},{""sku"":""1116"",""req"":1}]")</f>
        <v>"formula":[{"sku":"1201","req":1},{"sku":"1105","req":1},{"sku":"1013","req":5},{"sku":"1210","req":1},{"sku":"1211","req":1},{"sku":"1116","req":1}]</v>
      </c>
      <c r="G333" s="0" t="n">
        <f aca="false">IFERROR(__xludf.dummyfunction("""COMPUTED_VALUE"""),1)</f>
        <v>1</v>
      </c>
      <c r="H333" s="21" t="str">
        <f aca="false">IFERROR(__xludf.dummyfunction("IF(D333,filter(Productos!AC:AC,Productos!A:A=B333),)"),"cocina")</f>
        <v>cocina</v>
      </c>
      <c r="I333" s="24" t="n">
        <f aca="false">IFERROR(__xludf.dummyfunction("""COMPUTED_VALUE"""),4700)</f>
        <v>4700</v>
      </c>
      <c r="K333" s="0" t="str">
        <f aca="false">IF(D333,"{""sku"":"""&amp;B333&amp;""", ""costo"":"&amp;C333&amp;", ""grupo"":"""&amp;A333&amp;""", ""lote"":"&amp;D333&amp;", ""tiempo"":"&amp;E333&amp;", "&amp;F333&amp;", ""vencimiento"":"&amp;G333&amp;IF(I333,", ""precio"":"&amp;I333,)&amp;", ""tipo"":"""&amp;H333&amp;"""},",)</f>
        <v>{"sku":"10003", "costo":10, "grupo":"5", "lote":1, "tiempo":30, "formula":[{"sku":"1201","req":1},{"sku":"1105","req":1},{"sku":"1013","req":5},{"sku":"1210","req":1},{"sku":"1211","req":1},{"sku":"1116","req":1}], "vencimiento":1, "precio":4700, "tipo":"cocina"},</v>
      </c>
    </row>
    <row r="334" customFormat="false" ht="13" hidden="false" customHeight="false" outlineLevel="0" collapsed="false">
      <c r="A334" s="16" t="n">
        <v>5</v>
      </c>
      <c r="B334" s="0" t="n">
        <f aca="false">IFERROR(__xludf.dummyfunction("""COMPUTED_VALUE"""),10004)</f>
        <v>10004</v>
      </c>
      <c r="C334" s="24" t="n">
        <f aca="false">IFERROR(__xludf.dummyfunction("""COMPUTED_VALUE"""),10)</f>
        <v>10</v>
      </c>
      <c r="D334" s="0" t="n">
        <f aca="false">IFERROR(__xludf.dummyfunction("""COMPUTED_VALUE"""),1)</f>
        <v>1</v>
      </c>
      <c r="E334" s="0" t="n">
        <f aca="false">IFERROR(__xludf.dummyfunction("""COMPUTED_VALUE"""),10)</f>
        <v>10</v>
      </c>
      <c r="F334" s="0" t="str">
        <f aca="false">IFERROR(__xludf.dummyfunction("filter(Formulas!$C:$C,Formulas!$A:$A=B334)"),"""formula"":[{""sku"":""1201"",""req"":1},{""sku"":""1106"",""req"":4},{""sku"":""1210"",""req"":1},{""sku"":""1211"",""req"":1},{""sku"":""1116"",""req"":1}]")</f>
        <v>"formula":[{"sku":"1201","req":1},{"sku":"1106","req":4},{"sku":"1210","req":1},{"sku":"1211","req":1},{"sku":"1116","req":1}]</v>
      </c>
      <c r="G334" s="0" t="n">
        <f aca="false">IFERROR(__xludf.dummyfunction("""COMPUTED_VALUE"""),1)</f>
        <v>1</v>
      </c>
      <c r="H334" s="21" t="str">
        <f aca="false">IFERROR(__xludf.dummyfunction("IF(D334,filter(Productos!AC:AC,Productos!A:A=B334),)"),"cocina")</f>
        <v>cocina</v>
      </c>
      <c r="I334" s="24" t="n">
        <f aca="false">IFERROR(__xludf.dummyfunction("""COMPUTED_VALUE"""),4700)</f>
        <v>4700</v>
      </c>
      <c r="K334" s="0" t="str">
        <f aca="false">IF(D334,"{""sku"":"""&amp;B334&amp;""", ""costo"":"&amp;C334&amp;", ""grupo"":"""&amp;A334&amp;""", ""lote"":"&amp;D334&amp;", ""tiempo"":"&amp;E334&amp;", "&amp;F334&amp;", ""vencimiento"":"&amp;G334&amp;IF(I334,", ""precio"":"&amp;I334,)&amp;", ""tipo"":"""&amp;H334&amp;"""},",)</f>
        <v>{"sku":"10004", "costo":10, "grupo":"5", "lote":1, "tiempo":10, "formula":[{"sku":"1201","req":1},{"sku":"1106","req":4},{"sku":"1210","req":1},{"sku":"1211","req":1},{"sku":"1116","req":1}], "vencimiento":1, "precio":4700, "tipo":"cocina"},</v>
      </c>
    </row>
    <row r="335" customFormat="false" ht="13" hidden="false" customHeight="false" outlineLevel="0" collapsed="false">
      <c r="A335" s="17" t="n">
        <v>5</v>
      </c>
      <c r="B335" s="0" t="n">
        <f aca="false">IFERROR(__xludf.dummyfunction("""COMPUTED_VALUE"""),10005)</f>
        <v>10005</v>
      </c>
      <c r="C335" s="24" t="n">
        <f aca="false">IFERROR(__xludf.dummyfunction("""COMPUTED_VALUE"""),10)</f>
        <v>10</v>
      </c>
      <c r="D335" s="0" t="n">
        <f aca="false">IFERROR(__xludf.dummyfunction("""COMPUTED_VALUE"""),1)</f>
        <v>1</v>
      </c>
      <c r="E335" s="0" t="n">
        <f aca="false">IFERROR(__xludf.dummyfunction("""COMPUTED_VALUE"""),20)</f>
        <v>20</v>
      </c>
      <c r="F335" s="0" t="str">
        <f aca="false">IFERROR(__xludf.dummyfunction("filter(Formulas!$C:$C,Formulas!$A:$A=B335)"),"""formula"":[{""sku"":""1201"",""req"":1},{""sku"":""1106"",""req"":4},{""sku"":""1013"",""req"":5},{""sku"":""1210"",""req"":1},{""sku"":""1116"",""req"":1}]")</f>
        <v>"formula":[{"sku":"1201","req":1},{"sku":"1106","req":4},{"sku":"1013","req":5},{"sku":"1210","req":1},{"sku":"1116","req":1}]</v>
      </c>
      <c r="G335" s="0" t="n">
        <f aca="false">IFERROR(__xludf.dummyfunction("""COMPUTED_VALUE"""),1)</f>
        <v>1</v>
      </c>
      <c r="H335" s="21" t="str">
        <f aca="false">IFERROR(__xludf.dummyfunction("IF(D335,filter(Productos!AC:AC,Productos!A:A=B335),)"),"cocina")</f>
        <v>cocina</v>
      </c>
      <c r="I335" s="24" t="n">
        <f aca="false">IFERROR(__xludf.dummyfunction("""COMPUTED_VALUE"""),4700)</f>
        <v>4700</v>
      </c>
      <c r="K335" s="0" t="str">
        <f aca="false">IF(D335,"{""sku"":"""&amp;B335&amp;""", ""costo"":"&amp;C335&amp;", ""grupo"":"""&amp;A335&amp;""", ""lote"":"&amp;D335&amp;", ""tiempo"":"&amp;E335&amp;", "&amp;F335&amp;", ""vencimiento"":"&amp;G335&amp;IF(I335,", ""precio"":"&amp;I335,)&amp;", ""tipo"":"""&amp;H335&amp;"""},",)</f>
        <v>{"sku":"10005", "costo":10, "grupo":"5", "lote":1, "tiempo":20, "formula":[{"sku":"1201","req":1},{"sku":"1106","req":4},{"sku":"1013","req":5},{"sku":"1210","req":1},{"sku":"1116","req":1}], "vencimiento":1, "precio":4700, "tipo":"cocina"},</v>
      </c>
    </row>
    <row r="336" customFormat="false" ht="13" hidden="false" customHeight="false" outlineLevel="0" collapsed="false">
      <c r="A336" s="16" t="n">
        <v>5</v>
      </c>
      <c r="B336" s="0" t="n">
        <f aca="false">IFERROR(__xludf.dummyfunction("""COMPUTED_VALUE"""),10006)</f>
        <v>10006</v>
      </c>
      <c r="C336" s="24" t="n">
        <f aca="false">IFERROR(__xludf.dummyfunction("""COMPUTED_VALUE"""),10)</f>
        <v>10</v>
      </c>
      <c r="D336" s="0" t="n">
        <f aca="false">IFERROR(__xludf.dummyfunction("""COMPUTED_VALUE"""),1)</f>
        <v>1</v>
      </c>
      <c r="E336" s="0" t="n">
        <f aca="false">IFERROR(__xludf.dummyfunction("""COMPUTED_VALUE"""),10)</f>
        <v>10</v>
      </c>
      <c r="F336" s="0" t="str">
        <f aca="false">IFERROR(__xludf.dummyfunction("filter(Formulas!$C:$C,Formulas!$A:$A=B336)"),"""formula"":[{""sku"":""1201"",""req"":1},{""sku"":""1210"",""req"":1},{""sku"":""1107"",""req"":1},{""sku"":""1211"",""req"":1},{""sku"":""1116"",""req"":1}]")</f>
        <v>"formula":[{"sku":"1201","req":1},{"sku":"1210","req":1},{"sku":"1107","req":1},{"sku":"1211","req":1},{"sku":"1116","req":1}]</v>
      </c>
      <c r="G336" s="0" t="n">
        <f aca="false">IFERROR(__xludf.dummyfunction("""COMPUTED_VALUE"""),1)</f>
        <v>1</v>
      </c>
      <c r="H336" s="21" t="str">
        <f aca="false">IFERROR(__xludf.dummyfunction("IF(D336,filter(Productos!AC:AC,Productos!A:A=B336),)"),"cocina")</f>
        <v>cocina</v>
      </c>
      <c r="I336" s="24" t="n">
        <f aca="false">IFERROR(__xludf.dummyfunction("""COMPUTED_VALUE"""),4900)</f>
        <v>4900</v>
      </c>
      <c r="K336" s="0" t="str">
        <f aca="false">IF(D336,"{""sku"":"""&amp;B336&amp;""", ""costo"":"&amp;C336&amp;", ""grupo"":"""&amp;A336&amp;""", ""lote"":"&amp;D336&amp;", ""tiempo"":"&amp;E336&amp;", "&amp;F336&amp;", ""vencimiento"":"&amp;G336&amp;IF(I336,", ""precio"":"&amp;I336,)&amp;", ""tipo"":"""&amp;H336&amp;"""},",)</f>
        <v>{"sku":"10006", "costo":10, "grupo":"5", "lote":1, "tiempo":10, "formula":[{"sku":"1201","req":1},{"sku":"1210","req":1},{"sku":"1107","req":1},{"sku":"1211","req":1},{"sku":"1116","req":1}], "vencimiento":1, "precio":4900, "tipo":"cocina"},</v>
      </c>
    </row>
    <row r="337" customFormat="false" ht="13" hidden="false" customHeight="false" outlineLevel="0" collapsed="false">
      <c r="A337" s="17" t="n">
        <v>5</v>
      </c>
      <c r="B337" s="0" t="n">
        <f aca="false">IFERROR(__xludf.dummyfunction("""COMPUTED_VALUE"""),10007)</f>
        <v>10007</v>
      </c>
      <c r="C337" s="24" t="n">
        <f aca="false">IFERROR(__xludf.dummyfunction("""COMPUTED_VALUE"""),10)</f>
        <v>10</v>
      </c>
      <c r="D337" s="0" t="n">
        <f aca="false">IFERROR(__xludf.dummyfunction("""COMPUTED_VALUE"""),1)</f>
        <v>1</v>
      </c>
      <c r="E337" s="0" t="n">
        <f aca="false">IFERROR(__xludf.dummyfunction("""COMPUTED_VALUE"""),20)</f>
        <v>20</v>
      </c>
      <c r="F337" s="0" t="str">
        <f aca="false">IFERROR(__xludf.dummyfunction("filter(Formulas!$C:$C,Formulas!$A:$A=B337)"),"""formula"":[{""sku"":""1201"",""req"":1},{""sku"":""1013"",""req"":5},{""sku"":""1210"",""req"":1},{""sku"":""1107"",""req"":1},{""sku"":""1116"",""req"":1}]")</f>
        <v>"formula":[{"sku":"1201","req":1},{"sku":"1013","req":5},{"sku":"1210","req":1},{"sku":"1107","req":1},{"sku":"1116","req":1}]</v>
      </c>
      <c r="G337" s="0" t="n">
        <f aca="false">IFERROR(__xludf.dummyfunction("""COMPUTED_VALUE"""),1)</f>
        <v>1</v>
      </c>
      <c r="H337" s="21" t="str">
        <f aca="false">IFERROR(__xludf.dummyfunction("IF(D337,filter(Productos!AC:AC,Productos!A:A=B337),)"),"cocina")</f>
        <v>cocina</v>
      </c>
      <c r="I337" s="24" t="n">
        <f aca="false">IFERROR(__xludf.dummyfunction("""COMPUTED_VALUE"""),4900)</f>
        <v>4900</v>
      </c>
      <c r="K337" s="0" t="str">
        <f aca="false">IF(D337,"{""sku"":"""&amp;B337&amp;""", ""costo"":"&amp;C337&amp;", ""grupo"":"""&amp;A337&amp;""", ""lote"":"&amp;D337&amp;", ""tiempo"":"&amp;E337&amp;", "&amp;F337&amp;", ""vencimiento"":"&amp;G337&amp;IF(I337,", ""precio"":"&amp;I337,)&amp;", ""tipo"":"""&amp;H337&amp;"""},",)</f>
        <v>{"sku":"10007", "costo":10, "grupo":"5", "lote":1, "tiempo":20, "formula":[{"sku":"1201","req":1},{"sku":"1013","req":5},{"sku":"1210","req":1},{"sku":"1107","req":1},{"sku":"1116","req":1}], "vencimiento":1, "precio":4900, "tipo":"cocina"},</v>
      </c>
    </row>
    <row r="338" customFormat="false" ht="13" hidden="false" customHeight="false" outlineLevel="0" collapsed="false">
      <c r="A338" s="16" t="n">
        <v>5</v>
      </c>
      <c r="B338" s="0" t="n">
        <f aca="false">IFERROR(__xludf.dummyfunction("""COMPUTED_VALUE"""),10008)</f>
        <v>10008</v>
      </c>
      <c r="C338" s="24" t="n">
        <f aca="false">IFERROR(__xludf.dummyfunction("""COMPUTED_VALUE"""),10)</f>
        <v>10</v>
      </c>
      <c r="D338" s="0" t="n">
        <f aca="false">IFERROR(__xludf.dummyfunction("""COMPUTED_VALUE"""),1)</f>
        <v>1</v>
      </c>
      <c r="E338" s="0" t="n">
        <f aca="false">IFERROR(__xludf.dummyfunction("""COMPUTED_VALUE"""),20)</f>
        <v>20</v>
      </c>
      <c r="F338" s="0" t="str">
        <f aca="false">IFERROR(__xludf.dummyfunction("filter(Formulas!$C:$C,Formulas!$A:$A=B338)"),"""formula"":[{""sku"":""1201"",""req"":1},{""sku"":""1109"",""req"":1},{""sku"":""1210"",""req"":1},{""sku"":""1211"",""req"":1},{""sku"":""1116"",""req"":1}]")</f>
        <v>"formula":[{"sku":"1201","req":1},{"sku":"1109","req":1},{"sku":"1210","req":1},{"sku":"1211","req":1},{"sku":"1116","req":1}]</v>
      </c>
      <c r="G338" s="0" t="n">
        <f aca="false">IFERROR(__xludf.dummyfunction("""COMPUTED_VALUE"""),1)</f>
        <v>1</v>
      </c>
      <c r="H338" s="21" t="str">
        <f aca="false">IFERROR(__xludf.dummyfunction("IF(D338,filter(Productos!AC:AC,Productos!A:A=B338),)"),"cocina")</f>
        <v>cocina</v>
      </c>
      <c r="I338" s="24" t="n">
        <f aca="false">IFERROR(__xludf.dummyfunction("""COMPUTED_VALUE"""),4900)</f>
        <v>4900</v>
      </c>
      <c r="K338" s="0" t="str">
        <f aca="false">IF(D338,"{""sku"":"""&amp;B338&amp;""", ""costo"":"&amp;C338&amp;", ""grupo"":"""&amp;A338&amp;""", ""lote"":"&amp;D338&amp;", ""tiempo"":"&amp;E338&amp;", "&amp;F338&amp;", ""vencimiento"":"&amp;G338&amp;IF(I338,", ""precio"":"&amp;I338,)&amp;", ""tipo"":"""&amp;H338&amp;"""},",)</f>
        <v>{"sku":"10008", "costo":10, "grupo":"5", "lote":1, "tiempo":20, "formula":[{"sku":"1201","req":1},{"sku":"1109","req":1},{"sku":"1210","req":1},{"sku":"1211","req":1},{"sku":"1116","req":1}], "vencimiento":1, "precio":4900, "tipo":"cocina"},</v>
      </c>
    </row>
    <row r="339" customFormat="false" ht="13" hidden="false" customHeight="false" outlineLevel="0" collapsed="false">
      <c r="A339" s="17" t="n">
        <v>5</v>
      </c>
      <c r="B339" s="0" t="n">
        <f aca="false">IFERROR(__xludf.dummyfunction("""COMPUTED_VALUE"""),10009)</f>
        <v>10009</v>
      </c>
      <c r="C339" s="24" t="n">
        <f aca="false">IFERROR(__xludf.dummyfunction("""COMPUTED_VALUE"""),10)</f>
        <v>10</v>
      </c>
      <c r="D339" s="0" t="n">
        <f aca="false">IFERROR(__xludf.dummyfunction("""COMPUTED_VALUE"""),1)</f>
        <v>1</v>
      </c>
      <c r="E339" s="0" t="n">
        <f aca="false">IFERROR(__xludf.dummyfunction("""COMPUTED_VALUE"""),30)</f>
        <v>30</v>
      </c>
      <c r="F339" s="0" t="str">
        <f aca="false">IFERROR(__xludf.dummyfunction("filter(Formulas!$C:$C,Formulas!$A:$A=B339)"),"""formula"":[{""sku"":""1201"",""req"":1},{""sku"":""1109"",""req"":1},{""sku"":""1013"",""req"":5},{""sku"":""1210"",""req"":1},{""sku"":""1116"",""req"":1}]")</f>
        <v>"formula":[{"sku":"1201","req":1},{"sku":"1109","req":1},{"sku":"1013","req":5},{"sku":"1210","req":1},{"sku":"1116","req":1}]</v>
      </c>
      <c r="G339" s="0" t="n">
        <f aca="false">IFERROR(__xludf.dummyfunction("""COMPUTED_VALUE"""),1)</f>
        <v>1</v>
      </c>
      <c r="H339" s="21" t="str">
        <f aca="false">IFERROR(__xludf.dummyfunction("IF(D339,filter(Productos!AC:AC,Productos!A:A=B339),)"),"cocina")</f>
        <v>cocina</v>
      </c>
      <c r="I339" s="24" t="n">
        <f aca="false">IFERROR(__xludf.dummyfunction("""COMPUTED_VALUE"""),4900)</f>
        <v>4900</v>
      </c>
      <c r="K339" s="0" t="str">
        <f aca="false">IF(D339,"{""sku"":"""&amp;B339&amp;""", ""costo"":"&amp;C339&amp;", ""grupo"":"""&amp;A339&amp;""", ""lote"":"&amp;D339&amp;", ""tiempo"":"&amp;E339&amp;", "&amp;F339&amp;", ""vencimiento"":"&amp;G339&amp;IF(I339,", ""precio"":"&amp;I339,)&amp;", ""tipo"":"""&amp;H339&amp;"""},",)</f>
        <v>{"sku":"10009", "costo":10, "grupo":"5", "lote":1, "tiempo":30, "formula":[{"sku":"1201","req":1},{"sku":"1109","req":1},{"sku":"1013","req":5},{"sku":"1210","req":1},{"sku":"1116","req":1}], "vencimiento":1, "precio":4900, "tipo":"cocina"},</v>
      </c>
    </row>
    <row r="340" customFormat="false" ht="13" hidden="false" customHeight="false" outlineLevel="0" collapsed="false">
      <c r="A340" s="16" t="n">
        <v>5</v>
      </c>
      <c r="B340" s="0" t="n">
        <f aca="false">IFERROR(__xludf.dummyfunction("""COMPUTED_VALUE"""),10010)</f>
        <v>10010</v>
      </c>
      <c r="C340" s="24" t="n">
        <f aca="false">IFERROR(__xludf.dummyfunction("""COMPUTED_VALUE"""),10)</f>
        <v>10</v>
      </c>
      <c r="D340" s="0" t="n">
        <f aca="false">IFERROR(__xludf.dummyfunction("""COMPUTED_VALUE"""),1)</f>
        <v>1</v>
      </c>
      <c r="E340" s="0" t="n">
        <f aca="false">IFERROR(__xludf.dummyfunction("""COMPUTED_VALUE"""),10)</f>
        <v>10</v>
      </c>
      <c r="F340" s="0" t="str">
        <f aca="false">IFERROR(__xludf.dummyfunction("filter(Formulas!$C:$C,Formulas!$A:$A=B340)"),"""formula"":[{""sku"":""1201"",""req"":1},{""sku"":""1106"",""req"":4},{""sku"":""1210"",""req"":1},{""sku"":""1110"",""req"":1},{""sku"":""1116"",""req"":1}]")</f>
        <v>"formula":[{"sku":"1201","req":1},{"sku":"1106","req":4},{"sku":"1210","req":1},{"sku":"1110","req":1},{"sku":"1116","req":1}]</v>
      </c>
      <c r="G340" s="0" t="n">
        <f aca="false">IFERROR(__xludf.dummyfunction("""COMPUTED_VALUE"""),1)</f>
        <v>1</v>
      </c>
      <c r="H340" s="21" t="str">
        <f aca="false">IFERROR(__xludf.dummyfunction("IF(D340,filter(Productos!AC:AC,Productos!A:A=B340),)"),"cocina")</f>
        <v>cocina</v>
      </c>
      <c r="I340" s="24" t="n">
        <f aca="false">IFERROR(__xludf.dummyfunction("""COMPUTED_VALUE"""),4900)</f>
        <v>4900</v>
      </c>
      <c r="K340" s="0" t="str">
        <f aca="false">IF(D340,"{""sku"":"""&amp;B340&amp;""", ""costo"":"&amp;C340&amp;", ""grupo"":"""&amp;A340&amp;""", ""lote"":"&amp;D340&amp;", ""tiempo"":"&amp;E340&amp;", "&amp;F340&amp;", ""vencimiento"":"&amp;G340&amp;IF(I340,", ""precio"":"&amp;I340,)&amp;", ""tipo"":"""&amp;H340&amp;"""},",)</f>
        <v>{"sku":"10010", "costo":10, "grupo":"5", "lote":1, "tiempo":10, "formula":[{"sku":"1201","req":1},{"sku":"1106","req":4},{"sku":"1210","req":1},{"sku":"1110","req":1},{"sku":"1116","req":1}], "vencimiento":1, "precio":4900, "tipo":"cocina"},</v>
      </c>
    </row>
    <row r="341" customFormat="false" ht="13" hidden="false" customHeight="false" outlineLevel="0" collapsed="false">
      <c r="A341" s="17" t="n">
        <v>5</v>
      </c>
      <c r="B341" s="0" t="n">
        <f aca="false">IFERROR(__xludf.dummyfunction("""COMPUTED_VALUE"""),10011)</f>
        <v>10011</v>
      </c>
      <c r="C341" s="24" t="n">
        <f aca="false">IFERROR(__xludf.dummyfunction("""COMPUTED_VALUE"""),10)</f>
        <v>10</v>
      </c>
      <c r="D341" s="0" t="n">
        <f aca="false">IFERROR(__xludf.dummyfunction("""COMPUTED_VALUE"""),1)</f>
        <v>1</v>
      </c>
      <c r="E341" s="0" t="n">
        <f aca="false">IFERROR(__xludf.dummyfunction("""COMPUTED_VALUE"""),20)</f>
        <v>20</v>
      </c>
      <c r="F341" s="0" t="str">
        <f aca="false">IFERROR(__xludf.dummyfunction("filter(Formulas!$C:$C,Formulas!$A:$A=B341)"),"""formula"":[{""sku"":""1201"",""req"":1},{""sku"":""1106"",""req"":4},{""sku"":""1114"",""req"":1},{""sku"":""1110"",""req"":1},{""sku"":""1112"",""req"":1},{""sku"":""1116"",""req"":1}]")</f>
        <v>"formula":[{"sku":"1201","req":1},{"sku":"1106","req":4},{"sku":"1114","req":1},{"sku":"1110","req":1},{"sku":"1112","req":1},{"sku":"1116","req":1}]</v>
      </c>
      <c r="G341" s="0" t="n">
        <f aca="false">IFERROR(__xludf.dummyfunction("""COMPUTED_VALUE"""),1)</f>
        <v>1</v>
      </c>
      <c r="H341" s="21" t="str">
        <f aca="false">IFERROR(__xludf.dummyfunction("IF(D341,filter(Productos!AC:AC,Productos!A:A=B341),)"),"cocina")</f>
        <v>cocina</v>
      </c>
      <c r="I341" s="24" t="n">
        <f aca="false">IFERROR(__xludf.dummyfunction("""COMPUTED_VALUE"""),5700)</f>
        <v>5700</v>
      </c>
      <c r="K341" s="0" t="str">
        <f aca="false">IF(D341,"{""sku"":"""&amp;B341&amp;""", ""costo"":"&amp;C341&amp;", ""grupo"":"""&amp;A341&amp;""", ""lote"":"&amp;D341&amp;", ""tiempo"":"&amp;E341&amp;", "&amp;F341&amp;", ""vencimiento"":"&amp;G341&amp;IF(I341,", ""precio"":"&amp;I341,)&amp;", ""tipo"":"""&amp;H341&amp;"""},",)</f>
        <v>{"sku":"10011", "costo":10, "grupo":"5", "lote":1, "tiempo":20, "formula":[{"sku":"1201","req":1},{"sku":"1106","req":4},{"sku":"1114","req":1},{"sku":"1110","req":1},{"sku":"1112","req":1},{"sku":"1116","req":1}], "vencimiento":1, "precio":5700, "tipo":"cocina"},</v>
      </c>
    </row>
    <row r="342" customFormat="false" ht="13" hidden="false" customHeight="false" outlineLevel="0" collapsed="false">
      <c r="A342" s="16" t="n">
        <v>5</v>
      </c>
      <c r="B342" s="0" t="n">
        <f aca="false">IFERROR(__xludf.dummyfunction("""COMPUTED_VALUE"""),10012)</f>
        <v>10012</v>
      </c>
      <c r="C342" s="24" t="n">
        <f aca="false">IFERROR(__xludf.dummyfunction("""COMPUTED_VALUE"""),10)</f>
        <v>10</v>
      </c>
      <c r="D342" s="0" t="n">
        <f aca="false">IFERROR(__xludf.dummyfunction("""COMPUTED_VALUE"""),1)</f>
        <v>1</v>
      </c>
      <c r="E342" s="0" t="n">
        <f aca="false">IFERROR(__xludf.dummyfunction("""COMPUTED_VALUE"""),20)</f>
        <v>20</v>
      </c>
      <c r="F342" s="0" t="str">
        <f aca="false">IFERROR(__xludf.dummyfunction("filter(Formulas!$C:$C,Formulas!$A:$A=B342)"),"""formula"":[{""sku"":""1201"",""req"":1},{""sku"":""1106"",""req"":4},{""sku"":""1110"",""req"":1},{""sku"":""1112"",""req"":1},{""sku"":""1108"",""req"":1},{""sku"":""1116"",""req"":1}]")</f>
        <v>"formula":[{"sku":"1201","req":1},{"sku":"1106","req":4},{"sku":"1110","req":1},{"sku":"1112","req":1},{"sku":"1108","req":1},{"sku":"1116","req":1}]</v>
      </c>
      <c r="G342" s="0" t="n">
        <f aca="false">IFERROR(__xludf.dummyfunction("""COMPUTED_VALUE"""),1)</f>
        <v>1</v>
      </c>
      <c r="H342" s="21" t="str">
        <f aca="false">IFERROR(__xludf.dummyfunction("IF(D342,filter(Productos!AC:AC,Productos!A:A=B342),)"),"cocina")</f>
        <v>cocina</v>
      </c>
      <c r="I342" s="24" t="n">
        <f aca="false">IFERROR(__xludf.dummyfunction("""COMPUTED_VALUE"""),5700)</f>
        <v>5700</v>
      </c>
      <c r="K342" s="0" t="str">
        <f aca="false">IF(D342,"{""sku"":"""&amp;B342&amp;""", ""costo"":"&amp;C342&amp;", ""grupo"":"""&amp;A342&amp;""", ""lote"":"&amp;D342&amp;", ""tiempo"":"&amp;E342&amp;", "&amp;F342&amp;", ""vencimiento"":"&amp;G342&amp;IF(I342,", ""precio"":"&amp;I342,)&amp;", ""tipo"":"""&amp;H342&amp;"""},",)</f>
        <v>{"sku":"10012", "costo":10, "grupo":"5", "lote":1, "tiempo":20, "formula":[{"sku":"1201","req":1},{"sku":"1106","req":4},{"sku":"1110","req":1},{"sku":"1112","req":1},{"sku":"1108","req":1},{"sku":"1116","req":1}], "vencimiento":1, "precio":5700, "tipo":"cocina"},</v>
      </c>
    </row>
    <row r="343" customFormat="false" ht="13" hidden="false" customHeight="false" outlineLevel="0" collapsed="false">
      <c r="A343" s="17" t="n">
        <v>5</v>
      </c>
      <c r="B343" s="0" t="n">
        <f aca="false">IFERROR(__xludf.dummyfunction("""COMPUTED_VALUE"""),10013)</f>
        <v>10013</v>
      </c>
      <c r="C343" s="24" t="n">
        <f aca="false">IFERROR(__xludf.dummyfunction("""COMPUTED_VALUE"""),10)</f>
        <v>10</v>
      </c>
      <c r="D343" s="0" t="n">
        <f aca="false">IFERROR(__xludf.dummyfunction("""COMPUTED_VALUE"""),1)</f>
        <v>1</v>
      </c>
      <c r="E343" s="0" t="n">
        <f aca="false">IFERROR(__xludf.dummyfunction("""COMPUTED_VALUE"""),10)</f>
        <v>10</v>
      </c>
      <c r="F343" s="0" t="str">
        <f aca="false">IFERROR(__xludf.dummyfunction("filter(Formulas!$C:$C,Formulas!$A:$A=B343)"),"""formula"":[{""sku"":""1201"",""req"":1},{""sku"":""1106"",""req"":4},{""sku"":""1110"",""req"":1},{""sku"":""1112"",""req"":1},{""sku"":""1116"",""req"":1}]")</f>
        <v>"formula":[{"sku":"1201","req":1},{"sku":"1106","req":4},{"sku":"1110","req":1},{"sku":"1112","req":1},{"sku":"1116","req":1}]</v>
      </c>
      <c r="G343" s="0" t="n">
        <f aca="false">IFERROR(__xludf.dummyfunction("""COMPUTED_VALUE"""),1)</f>
        <v>1</v>
      </c>
      <c r="H343" s="21" t="str">
        <f aca="false">IFERROR(__xludf.dummyfunction("IF(D343,filter(Productos!AC:AC,Productos!A:A=B343),)"),"cocina")</f>
        <v>cocina</v>
      </c>
      <c r="I343" s="24" t="n">
        <f aca="false">IFERROR(__xludf.dummyfunction("""COMPUTED_VALUE"""),5700)</f>
        <v>5700</v>
      </c>
      <c r="K343" s="0" t="str">
        <f aca="false">IF(D343,"{""sku"":"""&amp;B343&amp;""", ""costo"":"&amp;C343&amp;", ""grupo"":"""&amp;A343&amp;""", ""lote"":"&amp;D343&amp;", ""tiempo"":"&amp;E343&amp;", "&amp;F343&amp;", ""vencimiento"":"&amp;G343&amp;IF(I343,", ""precio"":"&amp;I343,)&amp;", ""tipo"":"""&amp;H343&amp;"""},",)</f>
        <v>{"sku":"10013", "costo":10, "grupo":"5", "lote":1, "tiempo":10, "formula":[{"sku":"1201","req":1},{"sku":"1106","req":4},{"sku":"1110","req":1},{"sku":"1112","req":1},{"sku":"1116","req":1}], "vencimiento":1, "precio":5700, "tipo":"cocina"},</v>
      </c>
    </row>
    <row r="344" customFormat="false" ht="13" hidden="false" customHeight="false" outlineLevel="0" collapsed="false">
      <c r="A344" s="16" t="n">
        <v>5</v>
      </c>
      <c r="B344" s="0" t="n">
        <f aca="false">IFERROR(__xludf.dummyfunction("""COMPUTED_VALUE"""),10014)</f>
        <v>10014</v>
      </c>
      <c r="C344" s="24" t="n">
        <f aca="false">IFERROR(__xludf.dummyfunction("""COMPUTED_VALUE"""),10)</f>
        <v>10</v>
      </c>
      <c r="D344" s="0" t="n">
        <f aca="false">IFERROR(__xludf.dummyfunction("""COMPUTED_VALUE"""),1)</f>
        <v>1</v>
      </c>
      <c r="E344" s="0" t="n">
        <f aca="false">IFERROR(__xludf.dummyfunction("""COMPUTED_VALUE"""),10)</f>
        <v>10</v>
      </c>
      <c r="F344" s="0" t="str">
        <f aca="false">IFERROR(__xludf.dummyfunction("filter(Formulas!$C:$C,Formulas!$A:$A=B344)"),"""formula"":[{""sku"":""1201"",""req"":1},{""sku"":""1105"",""req"":1},{""sku"":""1110"",""req"":1},{""sku"":""1112"",""req"":1},{""sku"":""1116"",""req"":1}]")</f>
        <v>"formula":[{"sku":"1201","req":1},{"sku":"1105","req":1},{"sku":"1110","req":1},{"sku":"1112","req":1},{"sku":"1116","req":1}]</v>
      </c>
      <c r="G344" s="0" t="n">
        <f aca="false">IFERROR(__xludf.dummyfunction("""COMPUTED_VALUE"""),1)</f>
        <v>1</v>
      </c>
      <c r="H344" s="21" t="str">
        <f aca="false">IFERROR(__xludf.dummyfunction("IF(D344,filter(Productos!AC:AC,Productos!A:A=B344),)"),"cocina")</f>
        <v>cocina</v>
      </c>
      <c r="I344" s="24" t="n">
        <f aca="false">IFERROR(__xludf.dummyfunction("""COMPUTED_VALUE"""),4900)</f>
        <v>4900</v>
      </c>
      <c r="K344" s="0" t="str">
        <f aca="false">IF(D344,"{""sku"":"""&amp;B344&amp;""", ""costo"":"&amp;C344&amp;", ""grupo"":"""&amp;A344&amp;""", ""lote"":"&amp;D344&amp;", ""tiempo"":"&amp;E344&amp;", "&amp;F344&amp;", ""vencimiento"":"&amp;G344&amp;IF(I344,", ""precio"":"&amp;I344,)&amp;", ""tipo"":"""&amp;H344&amp;"""},",)</f>
        <v>{"sku":"10014", "costo":10, "grupo":"5", "lote":1, "tiempo":10, "formula":[{"sku":"1201","req":1},{"sku":"1105","req":1},{"sku":"1110","req":1},{"sku":"1112","req":1},{"sku":"1116","req":1}], "vencimiento":1, "precio":4900, "tipo":"cocina"},</v>
      </c>
    </row>
    <row r="345" customFormat="false" ht="13" hidden="false" customHeight="false" outlineLevel="0" collapsed="false">
      <c r="A345" s="17" t="n">
        <v>5</v>
      </c>
      <c r="B345" s="0" t="n">
        <f aca="false">IFERROR(__xludf.dummyfunction("""COMPUTED_VALUE"""),10015)</f>
        <v>10015</v>
      </c>
      <c r="C345" s="24" t="n">
        <f aca="false">IFERROR(__xludf.dummyfunction("""COMPUTED_VALUE"""),10)</f>
        <v>10</v>
      </c>
      <c r="D345" s="0" t="n">
        <f aca="false">IFERROR(__xludf.dummyfunction("""COMPUTED_VALUE"""),1)</f>
        <v>1</v>
      </c>
      <c r="E345" s="0" t="n">
        <f aca="false">IFERROR(__xludf.dummyfunction("""COMPUTED_VALUE"""),20)</f>
        <v>20</v>
      </c>
      <c r="F345" s="0" t="str">
        <f aca="false">IFERROR(__xludf.dummyfunction("filter(Formulas!$C:$C,Formulas!$A:$A=B345)"),"""formula"":[{""sku"":""1201"",""req"":1},{""sku"":""1109"",""req"":1},{""sku"":""1115"",""req"":1},{""sku"":""1110"",""req"":1},{""sku"":""1112"",""req"":1},{""sku"":""1116"",""req"":1}]")</f>
        <v>"formula":[{"sku":"1201","req":1},{"sku":"1109","req":1},{"sku":"1115","req":1},{"sku":"1110","req":1},{"sku":"1112","req":1},{"sku":"1116","req":1}]</v>
      </c>
      <c r="G345" s="0" t="n">
        <f aca="false">IFERROR(__xludf.dummyfunction("""COMPUTED_VALUE"""),1)</f>
        <v>1</v>
      </c>
      <c r="H345" s="21" t="str">
        <f aca="false">IFERROR(__xludf.dummyfunction("IF(D345,filter(Productos!AC:AC,Productos!A:A=B345),)"),"cocina")</f>
        <v>cocina</v>
      </c>
      <c r="I345" s="24" t="n">
        <f aca="false">IFERROR(__xludf.dummyfunction("""COMPUTED_VALUE"""),5700)</f>
        <v>5700</v>
      </c>
      <c r="K345" s="0" t="str">
        <f aca="false">IF(D345,"{""sku"":"""&amp;B345&amp;""", ""costo"":"&amp;C345&amp;", ""grupo"":"""&amp;A345&amp;""", ""lote"":"&amp;D345&amp;", ""tiempo"":"&amp;E345&amp;", "&amp;F345&amp;", ""vencimiento"":"&amp;G345&amp;IF(I345,", ""precio"":"&amp;I345,)&amp;", ""tipo"":"""&amp;H345&amp;"""},",)</f>
        <v>{"sku":"10015", "costo":10, "grupo":"5", "lote":1, "tiempo":20, "formula":[{"sku":"1201","req":1},{"sku":"1109","req":1},{"sku":"1115","req":1},{"sku":"1110","req":1},{"sku":"1112","req":1},{"sku":"1116","req":1}], "vencimiento":1, "precio":5700, "tipo":"cocina"},</v>
      </c>
    </row>
    <row r="346" customFormat="false" ht="13" hidden="false" customHeight="false" outlineLevel="0" collapsed="false">
      <c r="A346" s="16" t="n">
        <v>5</v>
      </c>
      <c r="B346" s="0" t="n">
        <f aca="false">IFERROR(__xludf.dummyfunction("""COMPUTED_VALUE"""),10016)</f>
        <v>10016</v>
      </c>
      <c r="C346" s="24" t="n">
        <f aca="false">IFERROR(__xludf.dummyfunction("""COMPUTED_VALUE"""),10)</f>
        <v>10</v>
      </c>
      <c r="D346" s="0" t="n">
        <f aca="false">IFERROR(__xludf.dummyfunction("""COMPUTED_VALUE"""),1)</f>
        <v>1</v>
      </c>
      <c r="E346" s="0" t="n">
        <f aca="false">IFERROR(__xludf.dummyfunction("""COMPUTED_VALUE"""),20)</f>
        <v>20</v>
      </c>
      <c r="F346" s="0" t="str">
        <f aca="false">IFERROR(__xludf.dummyfunction("filter(Formulas!$C:$C,Formulas!$A:$A=B346)"),"""formula"":[{""sku"":""1201"",""req"":1},{""sku"":""1106"",""req"":4},{""sku"":""1110"",""req"":1},{""sku"":""1112"",""req"":1},{""sku"":""1107"",""req"":1},{""sku"":""1116"",""req"":1}]")</f>
        <v>"formula":[{"sku":"1201","req":1},{"sku":"1106","req":4},{"sku":"1110","req":1},{"sku":"1112","req":1},{"sku":"1107","req":1},{"sku":"1116","req":1}]</v>
      </c>
      <c r="G346" s="0" t="n">
        <f aca="false">IFERROR(__xludf.dummyfunction("""COMPUTED_VALUE"""),1)</f>
        <v>1</v>
      </c>
      <c r="H346" s="21" t="str">
        <f aca="false">IFERROR(__xludf.dummyfunction("IF(D346,filter(Productos!AC:AC,Productos!A:A=B346),)"),"cocina")</f>
        <v>cocina</v>
      </c>
      <c r="I346" s="24" t="n">
        <f aca="false">IFERROR(__xludf.dummyfunction("""COMPUTED_VALUE"""),5700)</f>
        <v>5700</v>
      </c>
      <c r="K346" s="0" t="str">
        <f aca="false">IF(D346,"{""sku"":"""&amp;B346&amp;""", ""costo"":"&amp;C346&amp;", ""grupo"":"""&amp;A346&amp;""", ""lote"":"&amp;D346&amp;", ""tiempo"":"&amp;E346&amp;", "&amp;F346&amp;", ""vencimiento"":"&amp;G346&amp;IF(I346,", ""precio"":"&amp;I346,)&amp;", ""tipo"":"""&amp;H346&amp;"""},",)</f>
        <v>{"sku":"10016", "costo":10, "grupo":"5", "lote":1, "tiempo":20, "formula":[{"sku":"1201","req":1},{"sku":"1106","req":4},{"sku":"1110","req":1},{"sku":"1112","req":1},{"sku":"1107","req":1},{"sku":"1116","req":1}], "vencimiento":1, "precio":5700, "tipo":"cocina"},</v>
      </c>
    </row>
    <row r="347" customFormat="false" ht="13" hidden="false" customHeight="false" outlineLevel="0" collapsed="false">
      <c r="A347" s="17" t="n">
        <v>5</v>
      </c>
      <c r="B347" s="0" t="n">
        <f aca="false">IFERROR(__xludf.dummyfunction("""COMPUTED_VALUE"""),10017)</f>
        <v>10017</v>
      </c>
      <c r="C347" s="24" t="n">
        <f aca="false">IFERROR(__xludf.dummyfunction("""COMPUTED_VALUE"""),10)</f>
        <v>10</v>
      </c>
      <c r="D347" s="0" t="n">
        <f aca="false">IFERROR(__xludf.dummyfunction("""COMPUTED_VALUE"""),1)</f>
        <v>1</v>
      </c>
      <c r="E347" s="0" t="n">
        <f aca="false">IFERROR(__xludf.dummyfunction("""COMPUTED_VALUE"""),10)</f>
        <v>10</v>
      </c>
      <c r="F347" s="0" t="str">
        <f aca="false">IFERROR(__xludf.dummyfunction("filter(Formulas!$C:$C,Formulas!$A:$A=B347)"),"""formula"":[{""sku"":""1201"",""req"":1},{""sku"":""1110"",""req"":1},{""sku"":""1112"",""req"":1},{""sku"":""1107"",""req"":1},{""sku"":""1116"",""req"":1}]")</f>
        <v>"formula":[{"sku":"1201","req":1},{"sku":"1110","req":1},{"sku":"1112","req":1},{"sku":"1107","req":1},{"sku":"1116","req":1}]</v>
      </c>
      <c r="G347" s="0" t="n">
        <f aca="false">IFERROR(__xludf.dummyfunction("""COMPUTED_VALUE"""),1)</f>
        <v>1</v>
      </c>
      <c r="H347" s="21" t="str">
        <f aca="false">IFERROR(__xludf.dummyfunction("IF(D347,filter(Productos!AC:AC,Productos!A:A=B347),)"),"cocina")</f>
        <v>cocina</v>
      </c>
      <c r="I347" s="24" t="n">
        <f aca="false">IFERROR(__xludf.dummyfunction("""COMPUTED_VALUE"""),5700)</f>
        <v>5700</v>
      </c>
      <c r="K347" s="0" t="str">
        <f aca="false">IF(D347,"{""sku"":"""&amp;B347&amp;""", ""costo"":"&amp;C347&amp;", ""grupo"":"""&amp;A347&amp;""", ""lote"":"&amp;D347&amp;", ""tiempo"":"&amp;E347&amp;", "&amp;F347&amp;", ""vencimiento"":"&amp;G347&amp;IF(I347,", ""precio"":"&amp;I347,)&amp;", ""tipo"":"""&amp;H347&amp;"""},",)</f>
        <v>{"sku":"10017", "costo":10, "grupo":"5", "lote":1, "tiempo":10, "formula":[{"sku":"1201","req":1},{"sku":"1110","req":1},{"sku":"1112","req":1},{"sku":"1107","req":1},{"sku":"1116","req":1}], "vencimiento":1, "precio":5700, "tipo":"cocina"},</v>
      </c>
    </row>
    <row r="348" customFormat="false" ht="13" hidden="false" customHeight="false" outlineLevel="0" collapsed="false">
      <c r="A348" s="16" t="n">
        <v>5</v>
      </c>
      <c r="B348" s="0" t="n">
        <f aca="false">IFERROR(__xludf.dummyfunction("""COMPUTED_VALUE"""),10018)</f>
        <v>10018</v>
      </c>
      <c r="C348" s="24" t="n">
        <f aca="false">IFERROR(__xludf.dummyfunction("""COMPUTED_VALUE"""),10)</f>
        <v>10</v>
      </c>
      <c r="D348" s="0" t="n">
        <f aca="false">IFERROR(__xludf.dummyfunction("""COMPUTED_VALUE"""),1)</f>
        <v>1</v>
      </c>
      <c r="E348" s="0" t="n">
        <f aca="false">IFERROR(__xludf.dummyfunction("""COMPUTED_VALUE"""),10)</f>
        <v>10</v>
      </c>
      <c r="F348" s="0" t="str">
        <f aca="false">IFERROR(__xludf.dummyfunction("filter(Formulas!$C:$C,Formulas!$A:$A=B348)"),"""formula"":[{""sku"":""1201"",""req"":1},{""sku"":""1105"",""req"":1},{""sku"":""1112"",""req"":1},{""sku"":""1407"",""req"":1},{""sku"":""1116"",""req"":1}]")</f>
        <v>"formula":[{"sku":"1201","req":1},{"sku":"1105","req":1},{"sku":"1112","req":1},{"sku":"1407","req":1},{"sku":"1116","req":1}]</v>
      </c>
      <c r="G348" s="0" t="n">
        <f aca="false">IFERROR(__xludf.dummyfunction("""COMPUTED_VALUE"""),1)</f>
        <v>1</v>
      </c>
      <c r="H348" s="21" t="str">
        <f aca="false">IFERROR(__xludf.dummyfunction("IF(D348,filter(Productos!AC:AC,Productos!A:A=B348),)"),"cocina")</f>
        <v>cocina</v>
      </c>
      <c r="I348" s="24" t="n">
        <f aca="false">IFERROR(__xludf.dummyfunction("""COMPUTED_VALUE"""),5700)</f>
        <v>5700</v>
      </c>
      <c r="K348" s="0" t="str">
        <f aca="false">IF(D348,"{""sku"":"""&amp;B348&amp;""", ""costo"":"&amp;C348&amp;", ""grupo"":"""&amp;A348&amp;""", ""lote"":"&amp;D348&amp;", ""tiempo"":"&amp;E348&amp;", "&amp;F348&amp;", ""vencimiento"":"&amp;G348&amp;IF(I348,", ""precio"":"&amp;I348,)&amp;", ""tipo"":"""&amp;H348&amp;"""},",)</f>
        <v>{"sku":"10018", "costo":10, "grupo":"5", "lote":1, "tiempo":10, "formula":[{"sku":"1201","req":1},{"sku":"1105","req":1},{"sku":"1112","req":1},{"sku":"1407","req":1},{"sku":"1116","req":1}], "vencimiento":1, "precio":5700, "tipo":"cocina"},</v>
      </c>
    </row>
    <row r="349" customFormat="false" ht="13" hidden="false" customHeight="false" outlineLevel="0" collapsed="false">
      <c r="A349" s="17" t="n">
        <v>5</v>
      </c>
      <c r="B349" s="0" t="n">
        <f aca="false">IFERROR(__xludf.dummyfunction("""COMPUTED_VALUE"""),10019)</f>
        <v>10019</v>
      </c>
      <c r="C349" s="24" t="n">
        <f aca="false">IFERROR(__xludf.dummyfunction("""COMPUTED_VALUE"""),10)</f>
        <v>10</v>
      </c>
      <c r="D349" s="0" t="n">
        <f aca="false">IFERROR(__xludf.dummyfunction("""COMPUTED_VALUE"""),1)</f>
        <v>1</v>
      </c>
      <c r="E349" s="0" t="n">
        <f aca="false">IFERROR(__xludf.dummyfunction("""COMPUTED_VALUE"""),10)</f>
        <v>10</v>
      </c>
      <c r="F349" s="0" t="str">
        <f aca="false">IFERROR(__xludf.dummyfunction("filter(Formulas!$C:$C,Formulas!$A:$A=B349)"),"""formula"":[{""sku"":""1201"",""req"":1},{""sku"":""1106"",""req"":4},{""sku"":""1210"",""req"":1},{""sku"":""1116"",""req"":1},{""sku"":""1407"",""req"":1}]")</f>
        <v>"formula":[{"sku":"1201","req":1},{"sku":"1106","req":4},{"sku":"1210","req":1},{"sku":"1116","req":1},{"sku":"1407","req":1}]</v>
      </c>
      <c r="G349" s="0" t="n">
        <f aca="false">IFERROR(__xludf.dummyfunction("""COMPUTED_VALUE"""),1)</f>
        <v>1</v>
      </c>
      <c r="H349" s="21" t="str">
        <f aca="false">IFERROR(__xludf.dummyfunction("IF(D349,filter(Productos!AC:AC,Productos!A:A=B349),)"),"cocina")</f>
        <v>cocina</v>
      </c>
      <c r="I349" s="24" t="n">
        <f aca="false">IFERROR(__xludf.dummyfunction("""COMPUTED_VALUE"""),5700)</f>
        <v>5700</v>
      </c>
      <c r="K349" s="0" t="str">
        <f aca="false">IF(D349,"{""sku"":"""&amp;B349&amp;""", ""costo"":"&amp;C349&amp;", ""grupo"":"""&amp;A349&amp;""", ""lote"":"&amp;D349&amp;", ""tiempo"":"&amp;E349&amp;", "&amp;F349&amp;", ""vencimiento"":"&amp;G349&amp;IF(I349,", ""precio"":"&amp;I349,)&amp;", ""tipo"":"""&amp;H349&amp;"""},",)</f>
        <v>{"sku":"10019", "costo":10, "grupo":"5", "lote":1, "tiempo":10, "formula":[{"sku":"1201","req":1},{"sku":"1106","req":4},{"sku":"1210","req":1},{"sku":"1116","req":1},{"sku":"1407","req":1}], "vencimiento":1, "precio":5700, "tipo":"cocina"},</v>
      </c>
    </row>
    <row r="350" customFormat="false" ht="13" hidden="false" customHeight="false" outlineLevel="0" collapsed="false">
      <c r="A350" s="16" t="n">
        <v>5</v>
      </c>
      <c r="B350" s="0" t="n">
        <f aca="false">IFERROR(__xludf.dummyfunction("""COMPUTED_VALUE"""),10020)</f>
        <v>10020</v>
      </c>
      <c r="C350" s="24" t="n">
        <f aca="false">IFERROR(__xludf.dummyfunction("""COMPUTED_VALUE"""),10)</f>
        <v>10</v>
      </c>
      <c r="D350" s="0" t="n">
        <f aca="false">IFERROR(__xludf.dummyfunction("""COMPUTED_VALUE"""),1)</f>
        <v>1</v>
      </c>
      <c r="E350" s="0" t="n">
        <f aca="false">IFERROR(__xludf.dummyfunction("""COMPUTED_VALUE"""),20)</f>
        <v>20</v>
      </c>
      <c r="F350" s="0" t="str">
        <f aca="false">IFERROR(__xludf.dummyfunction("filter(Formulas!$C:$C,Formulas!$A:$A=B350)"),"""formula"":[{""sku"":""1201"",""req"":1},{""sku"":""1116"",""req"":1},{""sku"":""1106"",""req"":4},{""sku"":""1112"",""req"":1},{""sku"":""1114"",""req"":1},{""sku"":""1407"",""req"":1}]")</f>
        <v>"formula":[{"sku":"1201","req":1},{"sku":"1116","req":1},{"sku":"1106","req":4},{"sku":"1112","req":1},{"sku":"1114","req":1},{"sku":"1407","req":1}]</v>
      </c>
      <c r="G350" s="0" t="n">
        <f aca="false">IFERROR(__xludf.dummyfunction("""COMPUTED_VALUE"""),1)</f>
        <v>1</v>
      </c>
      <c r="H350" s="21" t="str">
        <f aca="false">IFERROR(__xludf.dummyfunction("IF(D350,filter(Productos!AC:AC,Productos!A:A=B350),)"),"cocina")</f>
        <v>cocina</v>
      </c>
      <c r="I350" s="24" t="n">
        <f aca="false">IFERROR(__xludf.dummyfunction("""COMPUTED_VALUE"""),5900)</f>
        <v>5900</v>
      </c>
      <c r="K350" s="0" t="str">
        <f aca="false">IF(D350,"{""sku"":"""&amp;B350&amp;""", ""costo"":"&amp;C350&amp;", ""grupo"":"""&amp;A350&amp;""", ""lote"":"&amp;D350&amp;", ""tiempo"":"&amp;E350&amp;", "&amp;F350&amp;", ""vencimiento"":"&amp;G350&amp;IF(I350,", ""precio"":"&amp;I350,)&amp;", ""tipo"":"""&amp;H350&amp;"""},",)</f>
        <v>{"sku":"10020", "costo":10, "grupo":"5", "lote":1, "tiempo":20, "formula":[{"sku":"1201","req":1},{"sku":"1116","req":1},{"sku":"1106","req":4},{"sku":"1112","req":1},{"sku":"1114","req":1},{"sku":"1407","req":1}], "vencimiento":1, "precio":5900, "tipo":"cocina"},</v>
      </c>
    </row>
    <row r="351" customFormat="false" ht="13" hidden="false" customHeight="false" outlineLevel="0" collapsed="false">
      <c r="A351" s="17" t="n">
        <v>5</v>
      </c>
      <c r="B351" s="0" t="n">
        <f aca="false">IFERROR(__xludf.dummyfunction("""COMPUTED_VALUE"""),10021)</f>
        <v>10021</v>
      </c>
      <c r="C351" s="24" t="n">
        <f aca="false">IFERROR(__xludf.dummyfunction("""COMPUTED_VALUE"""),10)</f>
        <v>10</v>
      </c>
      <c r="D351" s="0" t="n">
        <f aca="false">IFERROR(__xludf.dummyfunction("""COMPUTED_VALUE"""),1)</f>
        <v>1</v>
      </c>
      <c r="E351" s="0" t="n">
        <f aca="false">IFERROR(__xludf.dummyfunction("""COMPUTED_VALUE"""),10)</f>
        <v>10</v>
      </c>
      <c r="F351" s="0" t="str">
        <f aca="false">IFERROR(__xludf.dummyfunction("filter(Formulas!$C:$C,Formulas!$A:$A=B351)"),"""formula"":[{""sku"":""1201"",""req"":1},{""sku"":""1116"",""req"":1},{""sku"":""1109"",""req"":1},{""sku"":""1114"",""req"":1},{""sku"":""1407"",""req"":1}]")</f>
        <v>"formula":[{"sku":"1201","req":1},{"sku":"1116","req":1},{"sku":"1109","req":1},{"sku":"1114","req":1},{"sku":"1407","req":1}]</v>
      </c>
      <c r="G351" s="0" t="n">
        <f aca="false">IFERROR(__xludf.dummyfunction("""COMPUTED_VALUE"""),1)</f>
        <v>1</v>
      </c>
      <c r="H351" s="21" t="str">
        <f aca="false">IFERROR(__xludf.dummyfunction("IF(D351,filter(Productos!AC:AC,Productos!A:A=B351),)"),"cocina")</f>
        <v>cocina</v>
      </c>
      <c r="I351" s="24" t="n">
        <f aca="false">IFERROR(__xludf.dummyfunction("""COMPUTED_VALUE"""),5900)</f>
        <v>5900</v>
      </c>
      <c r="K351" s="0" t="str">
        <f aca="false">IF(D351,"{""sku"":"""&amp;B351&amp;""", ""costo"":"&amp;C351&amp;", ""grupo"":"""&amp;A351&amp;""", ""lote"":"&amp;D351&amp;", ""tiempo"":"&amp;E351&amp;", "&amp;F351&amp;", ""vencimiento"":"&amp;G351&amp;IF(I351,", ""precio"":"&amp;I351,)&amp;", ""tipo"":"""&amp;H351&amp;"""},",)</f>
        <v>{"sku":"10021", "costo":10, "grupo":"5", "lote":1, "tiempo":10, "formula":[{"sku":"1201","req":1},{"sku":"1116","req":1},{"sku":"1109","req":1},{"sku":"1114","req":1},{"sku":"1407","req":1}], "vencimiento":1, "precio":5900, "tipo":"cocina"},</v>
      </c>
    </row>
    <row r="352" customFormat="false" ht="13" hidden="false" customHeight="false" outlineLevel="0" collapsed="false">
      <c r="A352" s="16" t="n">
        <v>5</v>
      </c>
      <c r="B352" s="0" t="n">
        <f aca="false">IFERROR(__xludf.dummyfunction("""COMPUTED_VALUE"""),10022)</f>
        <v>10022</v>
      </c>
      <c r="C352" s="24" t="n">
        <f aca="false">IFERROR(__xludf.dummyfunction("""COMPUTED_VALUE"""),10)</f>
        <v>10</v>
      </c>
      <c r="D352" s="0" t="n">
        <f aca="false">IFERROR(__xludf.dummyfunction("""COMPUTED_VALUE"""),1)</f>
        <v>1</v>
      </c>
      <c r="E352" s="0" t="n">
        <f aca="false">IFERROR(__xludf.dummyfunction("""COMPUTED_VALUE"""),20)</f>
        <v>20</v>
      </c>
      <c r="F352" s="0" t="str">
        <f aca="false">IFERROR(__xludf.dummyfunction("filter(Formulas!$C:$C,Formulas!$A:$A=B352)"),"""formula"":[{""sku"":""1201"",""req"":1},{""sku"":""1116"",""req"":1},{""sku"":""1107"",""req"":1},{""sku"":""1112"",""req"":1},{""sku"":""1210"",""req"":1},{""sku"":""1215"",""req"":1}]")</f>
        <v>"formula":[{"sku":"1201","req":1},{"sku":"1116","req":1},{"sku":"1107","req":1},{"sku":"1112","req":1},{"sku":"1210","req":1},{"sku":"1215","req":1}]</v>
      </c>
      <c r="G352" s="0" t="n">
        <f aca="false">IFERROR(__xludf.dummyfunction("""COMPUTED_VALUE"""),1)</f>
        <v>1</v>
      </c>
      <c r="H352" s="21" t="str">
        <f aca="false">IFERROR(__xludf.dummyfunction("IF(D352,filter(Productos!AC:AC,Productos!A:A=B352),)"),"cocina")</f>
        <v>cocina</v>
      </c>
      <c r="I352" s="24" t="n">
        <f aca="false">IFERROR(__xludf.dummyfunction("""COMPUTED_VALUE"""),5500)</f>
        <v>5500</v>
      </c>
      <c r="K352" s="0" t="str">
        <f aca="false">IF(D352,"{""sku"":"""&amp;B352&amp;""", ""costo"":"&amp;C352&amp;", ""grupo"":"""&amp;A352&amp;""", ""lote"":"&amp;D352&amp;", ""tiempo"":"&amp;E352&amp;", "&amp;F352&amp;", ""vencimiento"":"&amp;G352&amp;IF(I352,", ""precio"":"&amp;I352,)&amp;", ""tipo"":"""&amp;H352&amp;"""},",)</f>
        <v>{"sku":"10022", "costo":10, "grupo":"5", "lote":1, "tiempo":20, "formula":[{"sku":"1201","req":1},{"sku":"1116","req":1},{"sku":"1107","req":1},{"sku":"1112","req":1},{"sku":"1210","req":1},{"sku":"1215","req":1}], "vencimiento":1, "precio":5500, "tipo":"cocina"},</v>
      </c>
    </row>
    <row r="353" customFormat="false" ht="13" hidden="false" customHeight="false" outlineLevel="0" collapsed="false">
      <c r="A353" s="17" t="n">
        <v>5</v>
      </c>
      <c r="B353" s="0" t="n">
        <f aca="false">IFERROR(__xludf.dummyfunction("""COMPUTED_VALUE"""),10023)</f>
        <v>10023</v>
      </c>
      <c r="C353" s="24" t="n">
        <f aca="false">IFERROR(__xludf.dummyfunction("""COMPUTED_VALUE"""),10)</f>
        <v>10</v>
      </c>
      <c r="D353" s="0" t="n">
        <f aca="false">IFERROR(__xludf.dummyfunction("""COMPUTED_VALUE"""),1)</f>
        <v>1</v>
      </c>
      <c r="E353" s="0" t="n">
        <f aca="false">IFERROR(__xludf.dummyfunction("""COMPUTED_VALUE"""),20)</f>
        <v>20</v>
      </c>
      <c r="F353" s="0" t="str">
        <f aca="false">IFERROR(__xludf.dummyfunction("filter(Formulas!$C:$C,Formulas!$A:$A=B353)"),"""formula"":[{""sku"":""1201"",""req"":1},{""sku"":""1116"",""req"":1},{""sku"":""1109"",""req"":1},{""sku"":""1112"",""req"":1},{""sku"":""1210"",""req"":1},{""sku"":""1215"",""req"":1}]")</f>
        <v>"formula":[{"sku":"1201","req":1},{"sku":"1116","req":1},{"sku":"1109","req":1},{"sku":"1112","req":1},{"sku":"1210","req":1},{"sku":"1215","req":1}]</v>
      </c>
      <c r="G353" s="0" t="n">
        <f aca="false">IFERROR(__xludf.dummyfunction("""COMPUTED_VALUE"""),1)</f>
        <v>1</v>
      </c>
      <c r="H353" s="21" t="str">
        <f aca="false">IFERROR(__xludf.dummyfunction("IF(D353,filter(Productos!AC:AC,Productos!A:A=B353),)"),"cocina")</f>
        <v>cocina</v>
      </c>
      <c r="I353" s="24" t="n">
        <f aca="false">IFERROR(__xludf.dummyfunction("""COMPUTED_VALUE"""),5500)</f>
        <v>5500</v>
      </c>
      <c r="K353" s="0" t="str">
        <f aca="false">IF(D353,"{""sku"":"""&amp;B353&amp;""", ""costo"":"&amp;C353&amp;", ""grupo"":"""&amp;A353&amp;""", ""lote"":"&amp;D353&amp;", ""tiempo"":"&amp;E353&amp;", "&amp;F353&amp;", ""vencimiento"":"&amp;G353&amp;IF(I353,", ""precio"":"&amp;I353,)&amp;", ""tipo"":"""&amp;H353&amp;"""},",)</f>
        <v>{"sku":"10023", "costo":10, "grupo":"5", "lote":1, "tiempo":20, "formula":[{"sku":"1201","req":1},{"sku":"1116","req":1},{"sku":"1109","req":1},{"sku":"1112","req":1},{"sku":"1210","req":1},{"sku":"1215","req":1}], "vencimiento":1, "precio":5500, "tipo":"cocina"},</v>
      </c>
    </row>
    <row r="354" customFormat="false" ht="13" hidden="false" customHeight="false" outlineLevel="0" collapsed="false">
      <c r="A354" s="16" t="n">
        <v>5</v>
      </c>
      <c r="B354" s="0" t="n">
        <f aca="false">IFERROR(__xludf.dummyfunction("""COMPUTED_VALUE"""),10024)</f>
        <v>10024</v>
      </c>
      <c r="C354" s="24" t="n">
        <f aca="false">IFERROR(__xludf.dummyfunction("""COMPUTED_VALUE"""),10)</f>
        <v>10</v>
      </c>
      <c r="D354" s="0" t="n">
        <f aca="false">IFERROR(__xludf.dummyfunction("""COMPUTED_VALUE"""),1)</f>
        <v>1</v>
      </c>
      <c r="E354" s="0" t="n">
        <f aca="false">IFERROR(__xludf.dummyfunction("""COMPUTED_VALUE"""),20)</f>
        <v>20</v>
      </c>
      <c r="F354" s="0" t="str">
        <f aca="false">IFERROR(__xludf.dummyfunction("filter(Formulas!$C:$C,Formulas!$A:$A=B354)"),"""formula"":[{""sku"":""1201"",""req"":1},{""sku"":""1116"",""req"":1},{""sku"":""1210"",""req"":1},{""sku"":""1114"",""req"":1},{""sku"":""1115"",""req"":1},{""sku"":""1211"",""req"":1}]")</f>
        <v>"formula":[{"sku":"1201","req":1},{"sku":"1116","req":1},{"sku":"1210","req":1},{"sku":"1114","req":1},{"sku":"1115","req":1},{"sku":"1211","req":1}]</v>
      </c>
      <c r="G354" s="0" t="n">
        <f aca="false">IFERROR(__xludf.dummyfunction("""COMPUTED_VALUE"""),1)</f>
        <v>1</v>
      </c>
      <c r="H354" s="21" t="str">
        <f aca="false">IFERROR(__xludf.dummyfunction("IF(D354,filter(Productos!AC:AC,Productos!A:A=B354),)"),"cocina")</f>
        <v>cocina</v>
      </c>
      <c r="I354" s="24" t="n">
        <f aca="false">IFERROR(__xludf.dummyfunction("""COMPUTED_VALUE"""),4900)</f>
        <v>4900</v>
      </c>
      <c r="K354" s="0" t="str">
        <f aca="false">IF(D354,"{""sku"":"""&amp;B354&amp;""", ""costo"":"&amp;C354&amp;", ""grupo"":"""&amp;A354&amp;""", ""lote"":"&amp;D354&amp;", ""tiempo"":"&amp;E354&amp;", "&amp;F354&amp;", ""vencimiento"":"&amp;G354&amp;IF(I354,", ""precio"":"&amp;I354,)&amp;", ""tipo"":"""&amp;H354&amp;"""},",)</f>
        <v>{"sku":"10024", "costo":10, "grupo":"5", "lote":1, "tiempo":20, "formula":[{"sku":"1201","req":1},{"sku":"1116","req":1},{"sku":"1210","req":1},{"sku":"1114","req":1},{"sku":"1115","req":1},{"sku":"1211","req":1}], "vencimiento":1, "precio":4900, "tipo":"cocina"},</v>
      </c>
    </row>
    <row r="355" customFormat="false" ht="13" hidden="false" customHeight="false" outlineLevel="0" collapsed="false">
      <c r="A355" s="17" t="n">
        <v>5</v>
      </c>
      <c r="B355" s="0" t="n">
        <f aca="false">IFERROR(__xludf.dummyfunction("""COMPUTED_VALUE"""),10025)</f>
        <v>10025</v>
      </c>
      <c r="C355" s="24" t="n">
        <f aca="false">IFERROR(__xludf.dummyfunction("""COMPUTED_VALUE"""),10)</f>
        <v>10</v>
      </c>
      <c r="D355" s="0" t="n">
        <f aca="false">IFERROR(__xludf.dummyfunction("""COMPUTED_VALUE"""),1)</f>
        <v>1</v>
      </c>
      <c r="E355" s="0" t="n">
        <f aca="false">IFERROR(__xludf.dummyfunction("""COMPUTED_VALUE"""),20)</f>
        <v>20</v>
      </c>
      <c r="F355" s="0" t="str">
        <f aca="false">IFERROR(__xludf.dummyfunction("filter(Formulas!$C:$C,Formulas!$A:$A=B355)"),"""formula"":[{""sku"":""1201"",""req"":1},{""sku"":""1116"",""req"":1},{""sku"":""1210"",""req"":1},{""sku"":""1114"",""req"":1},{""sku"":""1115"",""req"":1},{""sku"":""1013"",""req"":5}]")</f>
        <v>"formula":[{"sku":"1201","req":1},{"sku":"1116","req":1},{"sku":"1210","req":1},{"sku":"1114","req":1},{"sku":"1115","req":1},{"sku":"1013","req":5}]</v>
      </c>
      <c r="G355" s="0" t="n">
        <f aca="false">IFERROR(__xludf.dummyfunction("""COMPUTED_VALUE"""),1)</f>
        <v>1</v>
      </c>
      <c r="H355" s="21" t="str">
        <f aca="false">IFERROR(__xludf.dummyfunction("IF(D355,filter(Productos!AC:AC,Productos!A:A=B355),)"),"cocina")</f>
        <v>cocina</v>
      </c>
      <c r="I355" s="24" t="n">
        <f aca="false">IFERROR(__xludf.dummyfunction("""COMPUTED_VALUE"""),4900)</f>
        <v>4900</v>
      </c>
      <c r="K355" s="0" t="str">
        <f aca="false">IF(D355,"{""sku"":"""&amp;B355&amp;""", ""costo"":"&amp;C355&amp;", ""grupo"":"""&amp;A355&amp;""", ""lote"":"&amp;D355&amp;", ""tiempo"":"&amp;E355&amp;", "&amp;F355&amp;", ""vencimiento"":"&amp;G355&amp;IF(I355,", ""precio"":"&amp;I355,)&amp;", ""tipo"":"""&amp;H355&amp;"""},",)</f>
        <v>{"sku":"10025", "costo":10, "grupo":"5", "lote":1, "tiempo":20, "formula":[{"sku":"1201","req":1},{"sku":"1116","req":1},{"sku":"1210","req":1},{"sku":"1114","req":1},{"sku":"1115","req":1},{"sku":"1013","req":5}], "vencimiento":1, "precio":4900, "tipo":"cocina"},</v>
      </c>
    </row>
    <row r="356" customFormat="false" ht="13" hidden="false" customHeight="false" outlineLevel="0" collapsed="false">
      <c r="A356" s="16" t="n">
        <v>5</v>
      </c>
      <c r="B356" s="0" t="n">
        <f aca="false">IFERROR(__xludf.dummyfunction("""COMPUTED_VALUE"""),20001)</f>
        <v>20001</v>
      </c>
      <c r="C356" s="24" t="n">
        <f aca="false">IFERROR(__xludf.dummyfunction("""COMPUTED_VALUE"""),10)</f>
        <v>10</v>
      </c>
      <c r="D356" s="0" t="n">
        <f aca="false">IFERROR(__xludf.dummyfunction("""COMPUTED_VALUE"""),1)</f>
        <v>1</v>
      </c>
      <c r="E356" s="0" t="n">
        <f aca="false">IFERROR(__xludf.dummyfunction("""COMPUTED_VALUE"""),10)</f>
        <v>10</v>
      </c>
      <c r="F356" s="0" t="str">
        <f aca="false">IFERROR(__xludf.dummyfunction("filter(Formulas!$C:$C,Formulas!$A:$A=B356)"),"""formula"":[{""sku"":""1301"",""req"":1},{""sku"":""1207"",""req"":1},{""sku"":""1310"",""req"":1},{""sku"":""1112"",""req"":1},{""sku"":""1216"",""req"":1}]")</f>
        <v>"formula":[{"sku":"1301","req":1},{"sku":"1207","req":1},{"sku":"1310","req":1},{"sku":"1112","req":1},{"sku":"1216","req":1}]</v>
      </c>
      <c r="G356" s="0" t="n">
        <f aca="false">IFERROR(__xludf.dummyfunction("""COMPUTED_VALUE"""),1)</f>
        <v>1</v>
      </c>
      <c r="H356" s="21" t="str">
        <f aca="false">IFERROR(__xludf.dummyfunction("IF(D356,filter(Productos!AC:AC,Productos!A:A=B356),)"),"cocina")</f>
        <v>cocina</v>
      </c>
      <c r="I356" s="24" t="n">
        <f aca="false">IFERROR(__xludf.dummyfunction("""COMPUTED_VALUE"""),2700)</f>
        <v>2700</v>
      </c>
      <c r="K356" s="0" t="str">
        <f aca="false">IF(D356,"{""sku"":"""&amp;B356&amp;""", ""costo"":"&amp;C356&amp;", ""grupo"":"""&amp;A356&amp;""", ""lote"":"&amp;D356&amp;", ""tiempo"":"&amp;E356&amp;", "&amp;F356&amp;", ""vencimiento"":"&amp;G356&amp;IF(I356,", ""precio"":"&amp;I356,)&amp;", ""tipo"":"""&amp;H356&amp;"""},",)</f>
        <v>{"sku":"20001", "costo":10, "grupo":"5", "lote":1, "tiempo":10, "formula":[{"sku":"1301","req":1},{"sku":"1207","req":1},{"sku":"1310","req":1},{"sku":"1112","req":1},{"sku":"1216","req":1}], "vencimiento":1, "precio":2700, "tipo":"cocina"},</v>
      </c>
    </row>
    <row r="357" customFormat="false" ht="13" hidden="false" customHeight="false" outlineLevel="0" collapsed="false">
      <c r="A357" s="17" t="n">
        <v>5</v>
      </c>
      <c r="B357" s="0" t="n">
        <f aca="false">IFERROR(__xludf.dummyfunction("""COMPUTED_VALUE"""),20002)</f>
        <v>20002</v>
      </c>
      <c r="C357" s="24" t="n">
        <f aca="false">IFERROR(__xludf.dummyfunction("""COMPUTED_VALUE"""),10)</f>
        <v>10</v>
      </c>
      <c r="D357" s="0" t="n">
        <f aca="false">IFERROR(__xludf.dummyfunction("""COMPUTED_VALUE"""),1)</f>
        <v>1</v>
      </c>
      <c r="E357" s="0" t="n">
        <f aca="false">IFERROR(__xludf.dummyfunction("""COMPUTED_VALUE"""),10)</f>
        <v>10</v>
      </c>
      <c r="F357" s="0" t="str">
        <f aca="false">IFERROR(__xludf.dummyfunction("filter(Formulas!$C:$C,Formulas!$A:$A=B357)"),"""formula"":[{""sku"":""1301"",""req"":1},{""sku"":""1216"",""req"":1},{""sku"":""1106"",""req"":4}]")</f>
        <v>"formula":[{"sku":"1301","req":1},{"sku":"1216","req":1},{"sku":"1106","req":4}]</v>
      </c>
      <c r="G357" s="0" t="n">
        <f aca="false">IFERROR(__xludf.dummyfunction("""COMPUTED_VALUE"""),1)</f>
        <v>1</v>
      </c>
      <c r="H357" s="21" t="str">
        <f aca="false">IFERROR(__xludf.dummyfunction("IF(D357,filter(Productos!AC:AC,Productos!A:A=B357),)"),"cocina")</f>
        <v>cocina</v>
      </c>
      <c r="I357" s="24" t="n">
        <f aca="false">IFERROR(__xludf.dummyfunction("""COMPUTED_VALUE"""),2700)</f>
        <v>2700</v>
      </c>
      <c r="K357" s="0" t="str">
        <f aca="false">IF(D357,"{""sku"":"""&amp;B357&amp;""", ""costo"":"&amp;C357&amp;", ""grupo"":"""&amp;A357&amp;""", ""lote"":"&amp;D357&amp;", ""tiempo"":"&amp;E357&amp;", "&amp;F357&amp;", ""vencimiento"":"&amp;G357&amp;IF(I357,", ""precio"":"&amp;I357,)&amp;", ""tipo"":"""&amp;H357&amp;"""},",)</f>
        <v>{"sku":"20002", "costo":10, "grupo":"5", "lote":1, "tiempo":10, "formula":[{"sku":"1301","req":1},{"sku":"1216","req":1},{"sku":"1106","req":4}], "vencimiento":1, "precio":2700, "tipo":"cocina"},</v>
      </c>
    </row>
    <row r="358" customFormat="false" ht="13" hidden="false" customHeight="false" outlineLevel="0" collapsed="false">
      <c r="A358" s="16" t="n">
        <v>5</v>
      </c>
      <c r="B358" s="0" t="n">
        <f aca="false">IFERROR(__xludf.dummyfunction("""COMPUTED_VALUE"""),20003)</f>
        <v>20003</v>
      </c>
      <c r="C358" s="24" t="n">
        <f aca="false">IFERROR(__xludf.dummyfunction("""COMPUTED_VALUE"""),10)</f>
        <v>10</v>
      </c>
      <c r="D358" s="0" t="n">
        <f aca="false">IFERROR(__xludf.dummyfunction("""COMPUTED_VALUE"""),1)</f>
        <v>1</v>
      </c>
      <c r="E358" s="0" t="n">
        <f aca="false">IFERROR(__xludf.dummyfunction("""COMPUTED_VALUE"""),10)</f>
        <v>10</v>
      </c>
      <c r="F358" s="0" t="str">
        <f aca="false">IFERROR(__xludf.dummyfunction("filter(Formulas!$C:$C,Formulas!$A:$A=B358)"),"""formula"":[{""sku"":""1301"",""req"":1},{""sku"":""1216"",""req"":1},{""sku"":""1207"",""req"":1}]")</f>
        <v>"formula":[{"sku":"1301","req":1},{"sku":"1216","req":1},{"sku":"1207","req":1}]</v>
      </c>
      <c r="G358" s="0" t="n">
        <f aca="false">IFERROR(__xludf.dummyfunction("""COMPUTED_VALUE"""),1)</f>
        <v>1</v>
      </c>
      <c r="H358" s="21" t="str">
        <f aca="false">IFERROR(__xludf.dummyfunction("IF(D358,filter(Productos!AC:AC,Productos!A:A=B358),)"),"cocina")</f>
        <v>cocina</v>
      </c>
      <c r="I358" s="24" t="n">
        <f aca="false">IFERROR(__xludf.dummyfunction("""COMPUTED_VALUE"""),2700)</f>
        <v>2700</v>
      </c>
      <c r="K358" s="0" t="str">
        <f aca="false">IF(D358,"{""sku"":"""&amp;B358&amp;""", ""costo"":"&amp;C358&amp;", ""grupo"":"""&amp;A358&amp;""", ""lote"":"&amp;D358&amp;", ""tiempo"":"&amp;E358&amp;", "&amp;F358&amp;", ""vencimiento"":"&amp;G358&amp;IF(I358,", ""precio"":"&amp;I358,)&amp;", ""tipo"":"""&amp;H358&amp;"""},",)</f>
        <v>{"sku":"20003", "costo":10, "grupo":"5", "lote":1, "tiempo":10, "formula":[{"sku":"1301","req":1},{"sku":"1216","req":1},{"sku":"1207","req":1}], "vencimiento":1, "precio":2700, "tipo":"cocina"},</v>
      </c>
    </row>
    <row r="359" customFormat="false" ht="13" hidden="false" customHeight="false" outlineLevel="0" collapsed="false">
      <c r="A359" s="17" t="n">
        <v>5</v>
      </c>
      <c r="B359" s="0" t="n">
        <f aca="false">IFERROR(__xludf.dummyfunction("""COMPUTED_VALUE"""),20004)</f>
        <v>20004</v>
      </c>
      <c r="C359" s="24" t="n">
        <f aca="false">IFERROR(__xludf.dummyfunction("""COMPUTED_VALUE"""),10)</f>
        <v>10</v>
      </c>
      <c r="D359" s="0" t="n">
        <f aca="false">IFERROR(__xludf.dummyfunction("""COMPUTED_VALUE"""),1)</f>
        <v>1</v>
      </c>
      <c r="E359" s="0" t="n">
        <f aca="false">IFERROR(__xludf.dummyfunction("""COMPUTED_VALUE"""),10)</f>
        <v>10</v>
      </c>
      <c r="F359" s="0" t="str">
        <f aca="false">IFERROR(__xludf.dummyfunction("filter(Formulas!$C:$C,Formulas!$A:$A=B359)"),"""formula"":[{""sku"":""1301"",""req"":1},{""sku"":""1216"",""req"":1},{""sku"":""1209"",""req"":1}]")</f>
        <v>"formula":[{"sku":"1301","req":1},{"sku":"1216","req":1},{"sku":"1209","req":1}]</v>
      </c>
      <c r="G359" s="0" t="n">
        <f aca="false">IFERROR(__xludf.dummyfunction("""COMPUTED_VALUE"""),1)</f>
        <v>1</v>
      </c>
      <c r="H359" s="21" t="str">
        <f aca="false">IFERROR(__xludf.dummyfunction("IF(D359,filter(Productos!AC:AC,Productos!A:A=B359),)"),"cocina")</f>
        <v>cocina</v>
      </c>
      <c r="I359" s="24" t="n">
        <f aca="false">IFERROR(__xludf.dummyfunction("""COMPUTED_VALUE"""),2700)</f>
        <v>2700</v>
      </c>
      <c r="K359" s="0" t="str">
        <f aca="false">IF(D359,"{""sku"":"""&amp;B359&amp;""", ""costo"":"&amp;C359&amp;", ""grupo"":"""&amp;A359&amp;""", ""lote"":"&amp;D359&amp;", ""tiempo"":"&amp;E359&amp;", "&amp;F359&amp;", ""vencimiento"":"&amp;G359&amp;IF(I359,", ""precio"":"&amp;I359,)&amp;", ""tipo"":"""&amp;H359&amp;"""},",)</f>
        <v>{"sku":"20004", "costo":10, "grupo":"5", "lote":1, "tiempo":10, "formula":[{"sku":"1301","req":1},{"sku":"1216","req":1},{"sku":"1209","req":1}], "vencimiento":1, "precio":2700, "tipo":"cocina"},</v>
      </c>
    </row>
    <row r="360" customFormat="false" ht="13" hidden="false" customHeight="false" outlineLevel="0" collapsed="false">
      <c r="A360" s="16" t="n">
        <v>5</v>
      </c>
      <c r="B360" s="0" t="n">
        <f aca="false">IFERROR(__xludf.dummyfunction("""COMPUTED_VALUE"""),20005)</f>
        <v>20005</v>
      </c>
      <c r="C360" s="24" t="n">
        <f aca="false">IFERROR(__xludf.dummyfunction("""COMPUTED_VALUE"""),10)</f>
        <v>10</v>
      </c>
      <c r="D360" s="0" t="n">
        <f aca="false">IFERROR(__xludf.dummyfunction("""COMPUTED_VALUE"""),1)</f>
        <v>1</v>
      </c>
      <c r="E360" s="0" t="n">
        <f aca="false">IFERROR(__xludf.dummyfunction("""COMPUTED_VALUE"""),20)</f>
        <v>20</v>
      </c>
      <c r="F360" s="0" t="str">
        <f aca="false">IFERROR(__xludf.dummyfunction("filter(Formulas!$C:$C,Formulas!$A:$A=B360)"),"""formula"":[{""sku"":""1301"",""req"":1},{""sku"":""1216"",""req"":1},{""sku"":""1209"",""req"":1},{""sku"":""1310"",""req"":1},{""sku"":""1112"",""req"":1}]")</f>
        <v>"formula":[{"sku":"1301","req":1},{"sku":"1216","req":1},{"sku":"1209","req":1},{"sku":"1310","req":1},{"sku":"1112","req":1}]</v>
      </c>
      <c r="G360" s="0" t="n">
        <f aca="false">IFERROR(__xludf.dummyfunction("""COMPUTED_VALUE"""),1)</f>
        <v>1</v>
      </c>
      <c r="H360" s="21" t="str">
        <f aca="false">IFERROR(__xludf.dummyfunction("IF(D360,filter(Productos!AC:AC,Productos!A:A=B360),)"),"cocina")</f>
        <v>cocina</v>
      </c>
      <c r="I360" s="24" t="n">
        <f aca="false">IFERROR(__xludf.dummyfunction("""COMPUTED_VALUE"""),2700)</f>
        <v>2700</v>
      </c>
      <c r="K360" s="0" t="str">
        <f aca="false">IF(D360,"{""sku"":"""&amp;B360&amp;""", ""costo"":"&amp;C360&amp;", ""grupo"":"""&amp;A360&amp;""", ""lote"":"&amp;D360&amp;", ""tiempo"":"&amp;E360&amp;", "&amp;F360&amp;", ""vencimiento"":"&amp;G360&amp;IF(I360,", ""precio"":"&amp;I360,)&amp;", ""tipo"":"""&amp;H360&amp;"""},",)</f>
        <v>{"sku":"20005", "costo":10, "grupo":"5", "lote":1, "tiempo":20, "formula":[{"sku":"1301","req":1},{"sku":"1216","req":1},{"sku":"1209","req":1},{"sku":"1310","req":1},{"sku":"1112","req":1}], "vencimiento":1, "precio":2700, "tipo":"cocina"},</v>
      </c>
    </row>
    <row r="361" customFormat="false" ht="13" hidden="false" customHeight="false" outlineLevel="0" collapsed="false">
      <c r="A361" s="17" t="n">
        <v>5</v>
      </c>
      <c r="B361" s="0" t="n">
        <f aca="false">IFERROR(__xludf.dummyfunction("""COMPUTED_VALUE"""),30001)</f>
        <v>30001</v>
      </c>
      <c r="C361" s="24" t="n">
        <f aca="false">IFERROR(__xludf.dummyfunction("""COMPUTED_VALUE"""),10)</f>
        <v>10</v>
      </c>
      <c r="D361" s="0" t="n">
        <f aca="false">IFERROR(__xludf.dummyfunction("""COMPUTED_VALUE"""),1)</f>
        <v>1</v>
      </c>
      <c r="E361" s="0" t="n">
        <f aca="false">IFERROR(__xludf.dummyfunction("""COMPUTED_VALUE"""),10)</f>
        <v>10</v>
      </c>
      <c r="F361" s="0" t="str">
        <f aca="false">IFERROR(__xludf.dummyfunction("filter(Formulas!$C:$C,Formulas!$A:$A=B361)"),"""formula"":[{""sku"":""1307"",""req"":3}]")</f>
        <v>"formula":[{"sku":"1307","req":3}]</v>
      </c>
      <c r="G361" s="0" t="n">
        <f aca="false">IFERROR(__xludf.dummyfunction("""COMPUTED_VALUE"""),1)</f>
        <v>1</v>
      </c>
      <c r="H361" s="21" t="str">
        <f aca="false">IFERROR(__xludf.dummyfunction("IF(D361,filter(Productos!AC:AC,Productos!A:A=B361),)"),"cocina")</f>
        <v>cocina</v>
      </c>
      <c r="I361" s="24" t="n">
        <f aca="false">IFERROR(__xludf.dummyfunction("""COMPUTED_VALUE"""),7900)</f>
        <v>7900</v>
      </c>
      <c r="K361" s="0" t="str">
        <f aca="false">IF(D361,"{""sku"":"""&amp;B361&amp;""", ""costo"":"&amp;C361&amp;", ""grupo"":"""&amp;A361&amp;""", ""lote"":"&amp;D361&amp;", ""tiempo"":"&amp;E361&amp;", "&amp;F361&amp;", ""vencimiento"":"&amp;G361&amp;IF(I361,", ""precio"":"&amp;I361,)&amp;", ""tipo"":"""&amp;H361&amp;"""},",)</f>
        <v>{"sku":"30001", "costo":10, "grupo":"5", "lote":1, "tiempo":10, "formula":[{"sku":"1307","req":3}], "vencimiento":1, "precio":7900, "tipo":"cocina"},</v>
      </c>
    </row>
    <row r="362" customFormat="false" ht="13" hidden="false" customHeight="false" outlineLevel="0" collapsed="false">
      <c r="A362" s="16" t="n">
        <v>5</v>
      </c>
      <c r="B362" s="0" t="n">
        <f aca="false">IFERROR(__xludf.dummyfunction("""COMPUTED_VALUE"""),30002)</f>
        <v>30002</v>
      </c>
      <c r="C362" s="24" t="n">
        <f aca="false">IFERROR(__xludf.dummyfunction("""COMPUTED_VALUE"""),10)</f>
        <v>10</v>
      </c>
      <c r="D362" s="0" t="n">
        <f aca="false">IFERROR(__xludf.dummyfunction("""COMPUTED_VALUE"""),1)</f>
        <v>1</v>
      </c>
      <c r="E362" s="0" t="n">
        <f aca="false">IFERROR(__xludf.dummyfunction("""COMPUTED_VALUE"""),10)</f>
        <v>10</v>
      </c>
      <c r="F362" s="0" t="str">
        <f aca="false">IFERROR(__xludf.dummyfunction("filter(Formulas!$C:$C,Formulas!$A:$A=B362)"),"""formula"":[{""sku"":""1307"",""req"":4}]")</f>
        <v>"formula":[{"sku":"1307","req":4}]</v>
      </c>
      <c r="G362" s="0" t="n">
        <f aca="false">IFERROR(__xludf.dummyfunction("""COMPUTED_VALUE"""),1)</f>
        <v>1</v>
      </c>
      <c r="H362" s="21" t="str">
        <f aca="false">IFERROR(__xludf.dummyfunction("IF(D362,filter(Productos!AC:AC,Productos!A:A=B362),)"),"cocina")</f>
        <v>cocina</v>
      </c>
      <c r="I362" s="24" t="n">
        <f aca="false">IFERROR(__xludf.dummyfunction("""COMPUTED_VALUE"""),9900)</f>
        <v>9900</v>
      </c>
      <c r="K362" s="0" t="str">
        <f aca="false">IF(D362,"{""sku"":"""&amp;B362&amp;""", ""costo"":"&amp;C362&amp;", ""grupo"":"""&amp;A362&amp;""", ""lote"":"&amp;D362&amp;", ""tiempo"":"&amp;E362&amp;", "&amp;F362&amp;", ""vencimiento"":"&amp;G362&amp;IF(I362,", ""precio"":"&amp;I362,)&amp;", ""tipo"":"""&amp;H362&amp;"""},",)</f>
        <v>{"sku":"30002", "costo":10, "grupo":"5", "lote":1, "tiempo":10, "formula":[{"sku":"1307","req":4}], "vencimiento":1, "precio":9900, "tipo":"cocina"},</v>
      </c>
    </row>
    <row r="363" customFormat="false" ht="13" hidden="false" customHeight="false" outlineLevel="0" collapsed="false">
      <c r="A363" s="17" t="n">
        <v>5</v>
      </c>
      <c r="B363" s="0" t="n">
        <f aca="false">IFERROR(__xludf.dummyfunction("""COMPUTED_VALUE"""),30003)</f>
        <v>30003</v>
      </c>
      <c r="C363" s="24" t="n">
        <f aca="false">IFERROR(__xludf.dummyfunction("""COMPUTED_VALUE"""),10)</f>
        <v>10</v>
      </c>
      <c r="D363" s="0" t="n">
        <f aca="false">IFERROR(__xludf.dummyfunction("""COMPUTED_VALUE"""),1)</f>
        <v>1</v>
      </c>
      <c r="E363" s="0" t="n">
        <f aca="false">IFERROR(__xludf.dummyfunction("""COMPUTED_VALUE"""),10)</f>
        <v>10</v>
      </c>
      <c r="F363" s="0" t="str">
        <f aca="false">IFERROR(__xludf.dummyfunction("filter(Formulas!$C:$C,Formulas!$A:$A=B363)"),"""formula"":[{""sku"":""1307"",""req"":5}]")</f>
        <v>"formula":[{"sku":"1307","req":5}]</v>
      </c>
      <c r="G363" s="0" t="n">
        <f aca="false">IFERROR(__xludf.dummyfunction("""COMPUTED_VALUE"""),1)</f>
        <v>1</v>
      </c>
      <c r="H363" s="21" t="str">
        <f aca="false">IFERROR(__xludf.dummyfunction("IF(D363,filter(Productos!AC:AC,Productos!A:A=B363),)"),"cocina")</f>
        <v>cocina</v>
      </c>
      <c r="I363" s="24" t="n">
        <f aca="false">IFERROR(__xludf.dummyfunction("""COMPUTED_VALUE"""),12500)</f>
        <v>12500</v>
      </c>
      <c r="K363" s="0" t="str">
        <f aca="false">IF(D363,"{""sku"":"""&amp;B363&amp;""", ""costo"":"&amp;C363&amp;", ""grupo"":"""&amp;A363&amp;""", ""lote"":"&amp;D363&amp;", ""tiempo"":"&amp;E363&amp;", "&amp;F363&amp;", ""vencimiento"":"&amp;G363&amp;IF(I363,", ""precio"":"&amp;I363,)&amp;", ""tipo"":"""&amp;H363&amp;"""},",)</f>
        <v>{"sku":"30003", "costo":10, "grupo":"5", "lote":1, "tiempo":10, "formula":[{"sku":"1307","req":5}], "vencimiento":1, "precio":12500, "tipo":"cocina"},</v>
      </c>
    </row>
    <row r="364" customFormat="false" ht="13" hidden="false" customHeight="false" outlineLevel="0" collapsed="false">
      <c r="A364" s="16" t="n">
        <v>5</v>
      </c>
      <c r="B364" s="0" t="n">
        <f aca="false">IFERROR(__xludf.dummyfunction("""COMPUTED_VALUE"""),30004)</f>
        <v>30004</v>
      </c>
      <c r="C364" s="24" t="n">
        <f aca="false">IFERROR(__xludf.dummyfunction("""COMPUTED_VALUE"""),10)</f>
        <v>10</v>
      </c>
      <c r="D364" s="0" t="n">
        <f aca="false">IFERROR(__xludf.dummyfunction("""COMPUTED_VALUE"""),1)</f>
        <v>1</v>
      </c>
      <c r="E364" s="0" t="n">
        <f aca="false">IFERROR(__xludf.dummyfunction("""COMPUTED_VALUE"""),10)</f>
        <v>10</v>
      </c>
      <c r="F364" s="0" t="str">
        <f aca="false">IFERROR(__xludf.dummyfunction("filter(Formulas!$C:$C,Formulas!$A:$A=B364)"),"""formula"":[{""sku"":""1309"",""req"":3}]")</f>
        <v>"formula":[{"sku":"1309","req":3}]</v>
      </c>
      <c r="G364" s="0" t="n">
        <f aca="false">IFERROR(__xludf.dummyfunction("""COMPUTED_VALUE"""),1)</f>
        <v>1</v>
      </c>
      <c r="H364" s="21" t="str">
        <f aca="false">IFERROR(__xludf.dummyfunction("IF(D364,filter(Productos!AC:AC,Productos!A:A=B364),)"),"cocina")</f>
        <v>cocina</v>
      </c>
      <c r="I364" s="24" t="n">
        <f aca="false">IFERROR(__xludf.dummyfunction("""COMPUTED_VALUE"""),7900)</f>
        <v>7900</v>
      </c>
      <c r="K364" s="0" t="str">
        <f aca="false">IF(D364,"{""sku"":"""&amp;B364&amp;""", ""costo"":"&amp;C364&amp;", ""grupo"":"""&amp;A364&amp;""", ""lote"":"&amp;D364&amp;", ""tiempo"":"&amp;E364&amp;", "&amp;F364&amp;", ""vencimiento"":"&amp;G364&amp;IF(I364,", ""precio"":"&amp;I364,)&amp;", ""tipo"":"""&amp;H364&amp;"""},",)</f>
        <v>{"sku":"30004", "costo":10, "grupo":"5", "lote":1, "tiempo":10, "formula":[{"sku":"1309","req":3}], "vencimiento":1, "precio":7900, "tipo":"cocina"},</v>
      </c>
    </row>
    <row r="365" customFormat="false" ht="13" hidden="false" customHeight="false" outlineLevel="0" collapsed="false">
      <c r="A365" s="17" t="n">
        <v>5</v>
      </c>
      <c r="B365" s="0" t="n">
        <f aca="false">IFERROR(__xludf.dummyfunction("""COMPUTED_VALUE"""),30005)</f>
        <v>30005</v>
      </c>
      <c r="C365" s="24" t="n">
        <f aca="false">IFERROR(__xludf.dummyfunction("""COMPUTED_VALUE"""),10)</f>
        <v>10</v>
      </c>
      <c r="D365" s="0" t="n">
        <f aca="false">IFERROR(__xludf.dummyfunction("""COMPUTED_VALUE"""),1)</f>
        <v>1</v>
      </c>
      <c r="E365" s="0" t="n">
        <f aca="false">IFERROR(__xludf.dummyfunction("""COMPUTED_VALUE"""),10)</f>
        <v>10</v>
      </c>
      <c r="F365" s="0" t="str">
        <f aca="false">IFERROR(__xludf.dummyfunction("filter(Formulas!$C:$C,Formulas!$A:$A=B365)"),"""formula"":[{""sku"":""1309"",""req"":4}]")</f>
        <v>"formula":[{"sku":"1309","req":4}]</v>
      </c>
      <c r="G365" s="0" t="n">
        <f aca="false">IFERROR(__xludf.dummyfunction("""COMPUTED_VALUE"""),1)</f>
        <v>1</v>
      </c>
      <c r="H365" s="21" t="str">
        <f aca="false">IFERROR(__xludf.dummyfunction("IF(D365,filter(Productos!AC:AC,Productos!A:A=B365),)"),"cocina")</f>
        <v>cocina</v>
      </c>
      <c r="I365" s="24" t="n">
        <f aca="false">IFERROR(__xludf.dummyfunction("""COMPUTED_VALUE"""),9900)</f>
        <v>9900</v>
      </c>
      <c r="K365" s="0" t="str">
        <f aca="false">IF(D365,"{""sku"":"""&amp;B365&amp;""", ""costo"":"&amp;C365&amp;", ""grupo"":"""&amp;A365&amp;""", ""lote"":"&amp;D365&amp;", ""tiempo"":"&amp;E365&amp;", "&amp;F365&amp;", ""vencimiento"":"&amp;G365&amp;IF(I365,", ""precio"":"&amp;I365,)&amp;", ""tipo"":"""&amp;H365&amp;"""},",)</f>
        <v>{"sku":"30005", "costo":10, "grupo":"5", "lote":1, "tiempo":10, "formula":[{"sku":"1309","req":4}], "vencimiento":1, "precio":9900, "tipo":"cocina"},</v>
      </c>
    </row>
    <row r="366" customFormat="false" ht="13" hidden="false" customHeight="false" outlineLevel="0" collapsed="false">
      <c r="A366" s="17" t="n">
        <v>5</v>
      </c>
      <c r="B366" s="0" t="n">
        <f aca="false">IFERROR(__xludf.dummyfunction("""COMPUTED_VALUE"""),30006)</f>
        <v>30006</v>
      </c>
      <c r="C366" s="24" t="n">
        <f aca="false">IFERROR(__xludf.dummyfunction("""COMPUTED_VALUE"""),10)</f>
        <v>10</v>
      </c>
      <c r="D366" s="0" t="n">
        <f aca="false">IFERROR(__xludf.dummyfunction("""COMPUTED_VALUE"""),1)</f>
        <v>1</v>
      </c>
      <c r="E366" s="0" t="n">
        <f aca="false">IFERROR(__xludf.dummyfunction("""COMPUTED_VALUE"""),10)</f>
        <v>10</v>
      </c>
      <c r="F366" s="0" t="str">
        <f aca="false">IFERROR(__xludf.dummyfunction("filter(Formulas!$C:$C,Formulas!$A:$A=B366)"),"""formula"":[{""sku"":""1309"",""req"":5}]")</f>
        <v>"formula":[{"sku":"1309","req":5}]</v>
      </c>
      <c r="G366" s="0" t="n">
        <f aca="false">IFERROR(__xludf.dummyfunction("""COMPUTED_VALUE"""),1)</f>
        <v>1</v>
      </c>
      <c r="H366" s="21" t="str">
        <f aca="false">IFERROR(__xludf.dummyfunction("IF(D366,filter(Productos!AC:AC,Productos!A:A=B366),)"),"cocina")</f>
        <v>cocina</v>
      </c>
      <c r="I366" s="24" t="n">
        <f aca="false">IFERROR(__xludf.dummyfunction("""COMPUTED_VALUE"""),12500)</f>
        <v>12500</v>
      </c>
      <c r="K366" s="0" t="str">
        <f aca="false">IF(D366,"{""sku"":"""&amp;B366&amp;""", ""costo"":"&amp;C366&amp;", ""grupo"":"""&amp;A366&amp;""", ""lote"":"&amp;D366&amp;", ""tiempo"":"&amp;E366&amp;", "&amp;F366&amp;", ""vencimiento"":"&amp;G366&amp;IF(I366,", ""precio"":"&amp;I366,)&amp;", ""tipo"":"""&amp;H366&amp;"""},",)</f>
        <v>{"sku":"30006", "costo":10, "grupo":"5", "lote":1, "tiempo":10, "formula":[{"sku":"1309","req":5}], "vencimiento":1, "precio":12500, "tipo":"cocina"},</v>
      </c>
    </row>
    <row r="367" customFormat="false" ht="13" hidden="false" customHeight="false" outlineLevel="0" collapsed="false">
      <c r="A367" s="16" t="n">
        <v>5</v>
      </c>
      <c r="B367" s="0" t="n">
        <f aca="false">IFERROR(__xludf.dummyfunction("""COMPUTED_VALUE"""),30007)</f>
        <v>30007</v>
      </c>
      <c r="C367" s="24" t="n">
        <f aca="false">IFERROR(__xludf.dummyfunction("""COMPUTED_VALUE"""),10)</f>
        <v>10</v>
      </c>
      <c r="D367" s="0" t="n">
        <f aca="false">IFERROR(__xludf.dummyfunction("""COMPUTED_VALUE"""),1)</f>
        <v>1</v>
      </c>
      <c r="E367" s="0" t="n">
        <f aca="false">IFERROR(__xludf.dummyfunction("""COMPUTED_VALUE"""),10)</f>
        <v>10</v>
      </c>
      <c r="F367" s="0" t="str">
        <f aca="false">IFERROR(__xludf.dummyfunction("filter(Formulas!$C:$C,Formulas!$A:$A=B367)"),"""formula"":[{""sku"":""1309"",""req"":2},{""sku"":""1307"",""req"":2}]")</f>
        <v>"formula":[{"sku":"1309","req":2},{"sku":"1307","req":2}]</v>
      </c>
      <c r="G367" s="0" t="n">
        <f aca="false">IFERROR(__xludf.dummyfunction("""COMPUTED_VALUE"""),1)</f>
        <v>1</v>
      </c>
      <c r="H367" s="21" t="str">
        <f aca="false">IFERROR(__xludf.dummyfunction("IF(D367,filter(Productos!AC:AC,Productos!A:A=B367),)"),"cocina")</f>
        <v>cocina</v>
      </c>
      <c r="I367" s="24" t="n">
        <f aca="false">IFERROR(__xludf.dummyfunction("""COMPUTED_VALUE"""),9900)</f>
        <v>9900</v>
      </c>
      <c r="K367" s="0" t="str">
        <f aca="false">IF(D367,"{""sku"":"""&amp;B367&amp;""", ""costo"":"&amp;C367&amp;", ""grupo"":"""&amp;A367&amp;""", ""lote"":"&amp;D367&amp;", ""tiempo"":"&amp;E367&amp;", "&amp;F367&amp;", ""vencimiento"":"&amp;G367&amp;IF(I367,", ""precio"":"&amp;I367,)&amp;", ""tipo"":"""&amp;H367&amp;"""},",)</f>
        <v>{"sku":"30007", "costo":10, "grupo":"5", "lote":1, "tiempo":10, "formula":[{"sku":"1309","req":2},{"sku":"1307","req":2}], "vencimiento":1, "precio":9900, "tipo":"cocina"},</v>
      </c>
    </row>
    <row r="368" customFormat="false" ht="13" hidden="false" customHeight="false" outlineLevel="0" collapsed="false">
      <c r="A368" s="17" t="n">
        <v>5</v>
      </c>
      <c r="B368" s="0" t="n">
        <f aca="false">IFERROR(__xludf.dummyfunction("""COMPUTED_VALUE"""),30008)</f>
        <v>30008</v>
      </c>
      <c r="C368" s="24" t="n">
        <f aca="false">IFERROR(__xludf.dummyfunction("""COMPUTED_VALUE"""),10)</f>
        <v>10</v>
      </c>
      <c r="D368" s="0" t="n">
        <f aca="false">IFERROR(__xludf.dummyfunction("""COMPUTED_VALUE"""),1)</f>
        <v>1</v>
      </c>
      <c r="E368" s="0" t="n">
        <f aca="false">IFERROR(__xludf.dummyfunction("""COMPUTED_VALUE"""),10)</f>
        <v>10</v>
      </c>
      <c r="F368" s="0" t="str">
        <f aca="false">IFERROR(__xludf.dummyfunction("filter(Formulas!$C:$C,Formulas!$A:$A=B368)"),"""formula"":[{""sku"":""1309"",""req"":3},{""sku"":""1307"",""req"":3}]")</f>
        <v>"formula":[{"sku":"1309","req":3},{"sku":"1307","req":3}]</v>
      </c>
      <c r="G368" s="0" t="n">
        <f aca="false">IFERROR(__xludf.dummyfunction("""COMPUTED_VALUE"""),1)</f>
        <v>1</v>
      </c>
      <c r="H368" s="21" t="str">
        <f aca="false">IFERROR(__xludf.dummyfunction("IF(D368,filter(Productos!AC:AC,Productos!A:A=B368),)"),"cocina")</f>
        <v>cocina</v>
      </c>
      <c r="I368" s="24" t="n">
        <f aca="false">IFERROR(__xludf.dummyfunction("""COMPUTED_VALUE"""),15990)</f>
        <v>15990</v>
      </c>
      <c r="K368" s="0" t="str">
        <f aca="false">IF(D368,"{""sku"":"""&amp;B368&amp;""", ""costo"":"&amp;C368&amp;", ""grupo"":"""&amp;A368&amp;""", ""lote"":"&amp;D368&amp;", ""tiempo"":"&amp;E368&amp;", "&amp;F368&amp;", ""vencimiento"":"&amp;G368&amp;IF(I368,", ""precio"":"&amp;I368,)&amp;", ""tipo"":"""&amp;H368&amp;"""},",)</f>
        <v>{"sku":"30008", "costo":10, "grupo":"5", "lote":1, "tiempo":10, "formula":[{"sku":"1309","req":3},{"sku":"1307","req":3}], "vencimiento":1, "precio":15990, "tipo":"cocina"},</v>
      </c>
    </row>
    <row r="369" customFormat="false" ht="13" hidden="false" customHeight="false" outlineLevel="0" collapsed="false">
      <c r="H369" s="21" t="str">
        <f aca="false">IFERROR(__xludf.dummyfunction("IF(D369,filter(Productos!AC:AC,Productos!A:A=B369),)"),"")</f>
        <v/>
      </c>
      <c r="K369" s="0" t="n">
        <f aca="false">IF(D369,"{""sku"":"""&amp;B369&amp;""", ""costo"":"&amp;C369&amp;", ""grupo"":"""&amp;A369&amp;""", ""lote"":"&amp;D369&amp;", ""tiempo"":"&amp;E369&amp;", "&amp;F369&amp;", ""vencimiento"":"&amp;G369&amp;IF(I369,", ""precio"":"&amp;I369,)&amp;", ""tipo"":"""&amp;H369&amp;"""},",)</f>
        <v>0</v>
      </c>
    </row>
    <row r="370" customFormat="false" ht="13" hidden="false" customHeight="false" outlineLevel="0" collapsed="false">
      <c r="A370" s="22" t="s">
        <v>248</v>
      </c>
      <c r="B370" s="16" t="s">
        <v>249</v>
      </c>
      <c r="C370" s="16"/>
      <c r="D370" s="16"/>
      <c r="E370" s="16"/>
      <c r="F370" s="16"/>
      <c r="G370" s="25"/>
      <c r="H370" s="21" t="str">
        <f aca="false">IFERROR(__xludf.dummyfunction("IF(D370,filter(Productos!AC:AC,Productos!A:A=B370),)"),"")</f>
        <v/>
      </c>
      <c r="K370" s="0" t="n">
        <f aca="false">IF(D370,"{""sku"":"""&amp;B370&amp;""", ""costo"":"&amp;C370&amp;", ""grupo"":"""&amp;A370&amp;""", ""lote"":"&amp;D370&amp;", ""tiempo"":"&amp;E370&amp;", "&amp;F370&amp;", ""vencimiento"":"&amp;G370&amp;IF(I370,", ""precio"":"&amp;I370,)&amp;", ""tipo"":"""&amp;H370&amp;"""},",)</f>
        <v>0</v>
      </c>
    </row>
    <row r="371" customFormat="false" ht="13" hidden="false" customHeight="false" outlineLevel="0" collapsed="false">
      <c r="A371" s="17" t="n">
        <v>6</v>
      </c>
      <c r="B371" s="17" t="n">
        <f aca="false">IFERROR(__xludf.dummyfunction("filter(Productos!$A$2:$A1017,INDIRECT(B370))"),1001)</f>
        <v>1001</v>
      </c>
      <c r="C371" s="24" t="n">
        <f aca="false">IFERROR(__xludf.dummyfunction("filter(Productos!$D$2:$D1017,INDIRECT(B370))"),3000)</f>
        <v>3000</v>
      </c>
      <c r="D371" s="17" t="n">
        <f aca="false">IFERROR(__xludf.dummyfunction("filter(Productos!$K$2:$L1017,INDIRECT(B370))"),10)</f>
        <v>10</v>
      </c>
      <c r="E371" s="17" t="n">
        <f aca="false">IFERROR(__xludf.dummyfunction("""COMPUTED_VALUE"""),240)</f>
        <v>240</v>
      </c>
      <c r="F371" s="16" t="str">
        <f aca="false">IFERROR(__xludf.dummyfunction("filter(Formulas!$C:$C,Formulas!$A:$A=B371)"),"""formula"":null")</f>
        <v>"formula":null</v>
      </c>
      <c r="G371" s="26" t="n">
        <f aca="false">IFERROR(__xludf.dummyfunction("filter(Productos!$H$2:$H1017,INDIRECT(B370))"),720)</f>
        <v>720</v>
      </c>
      <c r="H371" s="21" t="str">
        <f aca="false">IFERROR(__xludf.dummyfunction("IF(D371,filter(Productos!AC:AC,Productos!A:A=B371),)"),"fabrica")</f>
        <v>fabrica</v>
      </c>
      <c r="I371" s="24" t="str">
        <f aca="false">IFERROR(__xludf.dummyfunction("filter(Productos!$E$2:$E1017,INDIRECT(B370))"),"")</f>
        <v/>
      </c>
      <c r="K371" s="0" t="e">
        <f aca="false">IF(D371,"{""sku"":"""&amp;B371&amp;""", ""costo"":"&amp;C371&amp;", ""grupo"":"""&amp;A371&amp;""", ""lote"":"&amp;D371&amp;", ""tiempo"":"&amp;E371&amp;", "&amp;F371&amp;", ""vencimiento"":"&amp;G371&amp;IF(I371,", ""precio"":"&amp;I371,)&amp;", ""tipo"":"""&amp;H371&amp;"""},",)</f>
        <v>#VALUE!</v>
      </c>
    </row>
    <row r="372" customFormat="false" ht="13" hidden="false" customHeight="false" outlineLevel="0" collapsed="false">
      <c r="A372" s="16" t="n">
        <v>6</v>
      </c>
      <c r="B372" s="0" t="n">
        <f aca="false">IFERROR(__xludf.dummyfunction("""COMPUTED_VALUE"""),1002)</f>
        <v>1002</v>
      </c>
      <c r="C372" s="24" t="n">
        <f aca="false">IFERROR(__xludf.dummyfunction("""COMPUTED_VALUE"""),4590)</f>
        <v>4590</v>
      </c>
      <c r="D372" s="0" t="n">
        <f aca="false">IFERROR(__xludf.dummyfunction("""COMPUTED_VALUE"""),10)</f>
        <v>10</v>
      </c>
      <c r="E372" s="0" t="n">
        <f aca="false">IFERROR(__xludf.dummyfunction("""COMPUTED_VALUE"""),300)</f>
        <v>300</v>
      </c>
      <c r="F372" s="0" t="str">
        <f aca="false">IFERROR(__xludf.dummyfunction("filter(Formulas!$C:$C,Formulas!$A:$A=B372)"),"""formula"":null")</f>
        <v>"formula":null</v>
      </c>
      <c r="G372" s="0" t="n">
        <f aca="false">IFERROR(__xludf.dummyfunction("""COMPUTED_VALUE"""),720)</f>
        <v>720</v>
      </c>
      <c r="H372" s="21" t="str">
        <f aca="false">IFERROR(__xludf.dummyfunction("IF(D372,filter(Productos!AC:AC,Productos!A:A=B372),)"),"fabrica")</f>
        <v>fabrica</v>
      </c>
      <c r="I372" s="24" t="str">
        <f aca="false">IFERROR(__xludf.dummyfunction("""COMPUTED_VALUE"""),"")</f>
        <v/>
      </c>
      <c r="K372" s="0" t="e">
        <f aca="false">IF(D372,"{""sku"":"""&amp;B372&amp;""", ""costo"":"&amp;C372&amp;", ""grupo"":"""&amp;A372&amp;""", ""lote"":"&amp;D372&amp;", ""tiempo"":"&amp;E372&amp;", "&amp;F372&amp;", ""vencimiento"":"&amp;G372&amp;IF(I372,", ""precio"":"&amp;I372,)&amp;", ""tipo"":"""&amp;H372&amp;"""},",)</f>
        <v>#VALUE!</v>
      </c>
    </row>
    <row r="373" customFormat="false" ht="13" hidden="false" customHeight="false" outlineLevel="0" collapsed="false">
      <c r="A373" s="17" t="n">
        <v>6</v>
      </c>
      <c r="B373" s="0" t="n">
        <f aca="false">IFERROR(__xludf.dummyfunction("""COMPUTED_VALUE"""),1003)</f>
        <v>1003</v>
      </c>
      <c r="C373" s="24" t="n">
        <f aca="false">IFERROR(__xludf.dummyfunction("""COMPUTED_VALUE"""),1290)</f>
        <v>1290</v>
      </c>
      <c r="D373" s="0" t="n">
        <f aca="false">IFERROR(__xludf.dummyfunction("""COMPUTED_VALUE"""),100)</f>
        <v>100</v>
      </c>
      <c r="E373" s="0" t="n">
        <f aca="false">IFERROR(__xludf.dummyfunction("""COMPUTED_VALUE"""),320)</f>
        <v>320</v>
      </c>
      <c r="F373" s="0" t="str">
        <f aca="false">IFERROR(__xludf.dummyfunction("filter(Formulas!$C:$C,Formulas!$A:$A=B373)"),"""formula"":null")</f>
        <v>"formula":null</v>
      </c>
      <c r="G373" s="0" t="n">
        <f aca="false">IFERROR(__xludf.dummyfunction("""COMPUTED_VALUE"""),720)</f>
        <v>720</v>
      </c>
      <c r="H373" s="21" t="str">
        <f aca="false">IFERROR(__xludf.dummyfunction("IF(D373,filter(Productos!AC:AC,Productos!A:A=B373),)"),"fabrica")</f>
        <v>fabrica</v>
      </c>
      <c r="I373" s="24" t="str">
        <f aca="false">IFERROR(__xludf.dummyfunction("""COMPUTED_VALUE"""),"")</f>
        <v/>
      </c>
      <c r="K373" s="0" t="e">
        <f aca="false">IF(D373,"{""sku"":"""&amp;B373&amp;""", ""costo"":"&amp;C373&amp;", ""grupo"":"""&amp;A373&amp;""", ""lote"":"&amp;D373&amp;", ""tiempo"":"&amp;E373&amp;", "&amp;F373&amp;", ""vencimiento"":"&amp;G373&amp;IF(I373,", ""precio"":"&amp;I373,)&amp;", ""tipo"":"""&amp;H373&amp;"""},",)</f>
        <v>#VALUE!</v>
      </c>
    </row>
    <row r="374" customFormat="false" ht="13" hidden="false" customHeight="false" outlineLevel="0" collapsed="false">
      <c r="A374" s="16" t="n">
        <v>6</v>
      </c>
      <c r="B374" s="0" t="n">
        <f aca="false">IFERROR(__xludf.dummyfunction("""COMPUTED_VALUE"""),1005)</f>
        <v>1005</v>
      </c>
      <c r="C374" s="24" t="n">
        <f aca="false">IFERROR(__xludf.dummyfunction("""COMPUTED_VALUE"""),9990)</f>
        <v>9990</v>
      </c>
      <c r="D374" s="0" t="n">
        <f aca="false">IFERROR(__xludf.dummyfunction("""COMPUTED_VALUE"""),5)</f>
        <v>5</v>
      </c>
      <c r="E374" s="0" t="n">
        <f aca="false">IFERROR(__xludf.dummyfunction("""COMPUTED_VALUE"""),260)</f>
        <v>260</v>
      </c>
      <c r="F374" s="0" t="str">
        <f aca="false">IFERROR(__xludf.dummyfunction("filter(Formulas!$C:$C,Formulas!$A:$A=B374)"),"""formula"":null")</f>
        <v>"formula":null</v>
      </c>
      <c r="G374" s="0" t="n">
        <f aca="false">IFERROR(__xludf.dummyfunction("""COMPUTED_VALUE"""),24)</f>
        <v>24</v>
      </c>
      <c r="H374" s="21" t="str">
        <f aca="false">IFERROR(__xludf.dummyfunction("IF(D374,filter(Productos!AC:AC,Productos!A:A=B374),)"),"fabrica")</f>
        <v>fabrica</v>
      </c>
      <c r="I374" s="24" t="str">
        <f aca="false">IFERROR(__xludf.dummyfunction("""COMPUTED_VALUE"""),"")</f>
        <v/>
      </c>
      <c r="K374" s="0" t="e">
        <f aca="false">IF(D374,"{""sku"":"""&amp;B374&amp;""", ""costo"":"&amp;C374&amp;", ""grupo"":"""&amp;A374&amp;""", ""lote"":"&amp;D374&amp;", ""tiempo"":"&amp;E374&amp;", "&amp;F374&amp;", ""vencimiento"":"&amp;G374&amp;IF(I374,", ""precio"":"&amp;I374,)&amp;", ""tipo"":"""&amp;H374&amp;"""},",)</f>
        <v>#VALUE!</v>
      </c>
    </row>
    <row r="375" customFormat="false" ht="13" hidden="false" customHeight="false" outlineLevel="0" collapsed="false">
      <c r="A375" s="17" t="n">
        <v>6</v>
      </c>
      <c r="B375" s="0" t="n">
        <f aca="false">IFERROR(__xludf.dummyfunction("""COMPUTED_VALUE"""),1007)</f>
        <v>1007</v>
      </c>
      <c r="C375" s="24" t="n">
        <f aca="false">IFERROR(__xludf.dummyfunction("""COMPUTED_VALUE"""),32990)</f>
        <v>32990</v>
      </c>
      <c r="D375" s="0" t="n">
        <f aca="false">IFERROR(__xludf.dummyfunction("""COMPUTED_VALUE"""),8)</f>
        <v>8</v>
      </c>
      <c r="E375" s="0" t="n">
        <f aca="false">IFERROR(__xludf.dummyfunction("""COMPUTED_VALUE"""),300)</f>
        <v>300</v>
      </c>
      <c r="F375" s="0" t="str">
        <f aca="false">IFERROR(__xludf.dummyfunction("filter(Formulas!$C:$C,Formulas!$A:$A=B375)"),"""formula"":null")</f>
        <v>"formula":null</v>
      </c>
      <c r="G375" s="0" t="n">
        <f aca="false">IFERROR(__xludf.dummyfunction("""COMPUTED_VALUE"""),20)</f>
        <v>20</v>
      </c>
      <c r="H375" s="21" t="str">
        <f aca="false">IFERROR(__xludf.dummyfunction("IF(D375,filter(Productos!AC:AC,Productos!A:A=B375),)"),"fabrica")</f>
        <v>fabrica</v>
      </c>
      <c r="I375" s="24" t="str">
        <f aca="false">IFERROR(__xludf.dummyfunction("""COMPUTED_VALUE"""),"")</f>
        <v/>
      </c>
      <c r="K375" s="0" t="e">
        <f aca="false">IF(D375,"{""sku"":"""&amp;B375&amp;""", ""costo"":"&amp;C375&amp;", ""grupo"":"""&amp;A375&amp;""", ""lote"":"&amp;D375&amp;", ""tiempo"":"&amp;E375&amp;", "&amp;F375&amp;", ""vencimiento"":"&amp;G375&amp;IF(I375,", ""precio"":"&amp;I375,)&amp;", ""tipo"":"""&amp;H375&amp;"""},",)</f>
        <v>#VALUE!</v>
      </c>
    </row>
    <row r="376" customFormat="false" ht="13" hidden="false" customHeight="false" outlineLevel="0" collapsed="false">
      <c r="A376" s="16" t="n">
        <v>6</v>
      </c>
      <c r="B376" s="0" t="n">
        <f aca="false">IFERROR(__xludf.dummyfunction("""COMPUTED_VALUE"""),1012)</f>
        <v>1012</v>
      </c>
      <c r="C376" s="24" t="n">
        <f aca="false">IFERROR(__xludf.dummyfunction("""COMPUTED_VALUE"""),9990)</f>
        <v>9990</v>
      </c>
      <c r="D376" s="0" t="n">
        <f aca="false">IFERROR(__xludf.dummyfunction("""COMPUTED_VALUE"""),7)</f>
        <v>7</v>
      </c>
      <c r="E376" s="0" t="n">
        <f aca="false">IFERROR(__xludf.dummyfunction("""COMPUTED_VALUE"""),150)</f>
        <v>150</v>
      </c>
      <c r="F376" s="0" t="str">
        <f aca="false">IFERROR(__xludf.dummyfunction("filter(Formulas!$C:$C,Formulas!$A:$A=B376)"),"""formula"":null")</f>
        <v>"formula":null</v>
      </c>
      <c r="G376" s="0" t="n">
        <f aca="false">IFERROR(__xludf.dummyfunction("""COMPUTED_VALUE"""),72)</f>
        <v>72</v>
      </c>
      <c r="H376" s="21" t="str">
        <f aca="false">IFERROR(__xludf.dummyfunction("IF(D376,filter(Productos!AC:AC,Productos!A:A=B376),)"),"fabrica")</f>
        <v>fabrica</v>
      </c>
      <c r="I376" s="24" t="str">
        <f aca="false">IFERROR(__xludf.dummyfunction("""COMPUTED_VALUE"""),"")</f>
        <v/>
      </c>
      <c r="K376" s="0" t="e">
        <f aca="false">IF(D376,"{""sku"":"""&amp;B376&amp;""", ""costo"":"&amp;C376&amp;", ""grupo"":"""&amp;A376&amp;""", ""lote"":"&amp;D376&amp;", ""tiempo"":"&amp;E376&amp;", "&amp;F376&amp;", ""vencimiento"":"&amp;G376&amp;IF(I376,", ""precio"":"&amp;I376,)&amp;", ""tipo"":"""&amp;H376&amp;"""},",)</f>
        <v>#VALUE!</v>
      </c>
    </row>
    <row r="377" customFormat="false" ht="13" hidden="false" customHeight="false" outlineLevel="0" collapsed="false">
      <c r="A377" s="17" t="n">
        <v>6</v>
      </c>
      <c r="B377" s="0" t="n">
        <f aca="false">IFERROR(__xludf.dummyfunction("""COMPUTED_VALUE"""),1015)</f>
        <v>1015</v>
      </c>
      <c r="C377" s="24" t="n">
        <f aca="false">IFERROR(__xludf.dummyfunction("""COMPUTED_VALUE"""),350)</f>
        <v>350</v>
      </c>
      <c r="D377" s="0" t="n">
        <f aca="false">IFERROR(__xludf.dummyfunction("""COMPUTED_VALUE"""),4)</f>
        <v>4</v>
      </c>
      <c r="E377" s="0" t="n">
        <f aca="false">IFERROR(__xludf.dummyfunction("""COMPUTED_VALUE"""),400)</f>
        <v>400</v>
      </c>
      <c r="F377" s="0" t="str">
        <f aca="false">IFERROR(__xludf.dummyfunction("filter(Formulas!$C:$C,Formulas!$A:$A=B377)"),"""formula"":null")</f>
        <v>"formula":null</v>
      </c>
      <c r="G377" s="0" t="n">
        <f aca="false">IFERROR(__xludf.dummyfunction("""COMPUTED_VALUE"""),30)</f>
        <v>30</v>
      </c>
      <c r="H377" s="21" t="str">
        <f aca="false">IFERROR(__xludf.dummyfunction("IF(D377,filter(Productos!AC:AC,Productos!A:A=B377),)"),"fabrica")</f>
        <v>fabrica</v>
      </c>
      <c r="I377" s="24" t="str">
        <f aca="false">IFERROR(__xludf.dummyfunction("""COMPUTED_VALUE"""),"")</f>
        <v/>
      </c>
      <c r="K377" s="0" t="e">
        <f aca="false">IF(D377,"{""sku"":"""&amp;B377&amp;""", ""costo"":"&amp;C377&amp;", ""grupo"":"""&amp;A377&amp;""", ""lote"":"&amp;D377&amp;", ""tiempo"":"&amp;E377&amp;", "&amp;F377&amp;", ""vencimiento"":"&amp;G377&amp;IF(I377,", ""precio"":"&amp;I377,)&amp;", ""tipo"":"""&amp;H377&amp;"""},",)</f>
        <v>#VALUE!</v>
      </c>
    </row>
    <row r="378" customFormat="false" ht="13" hidden="false" customHeight="false" outlineLevel="0" collapsed="false">
      <c r="A378" s="16" t="n">
        <v>6</v>
      </c>
      <c r="B378" s="0" t="n">
        <f aca="false">IFERROR(__xludf.dummyfunction("""COMPUTED_VALUE"""),1016)</f>
        <v>1016</v>
      </c>
      <c r="C378" s="24" t="n">
        <f aca="false">IFERROR(__xludf.dummyfunction("""COMPUTED_VALUE"""),2790)</f>
        <v>2790</v>
      </c>
      <c r="D378" s="0" t="n">
        <f aca="false">IFERROR(__xludf.dummyfunction("""COMPUTED_VALUE"""),8)</f>
        <v>8</v>
      </c>
      <c r="E378" s="0" t="n">
        <f aca="false">IFERROR(__xludf.dummyfunction("""COMPUTED_VALUE"""),600)</f>
        <v>600</v>
      </c>
      <c r="F378" s="0" t="str">
        <f aca="false">IFERROR(__xludf.dummyfunction("filter(Formulas!$C:$C,Formulas!$A:$A=B378)"),"""formula"":null")</f>
        <v>"formula":null</v>
      </c>
      <c r="G378" s="0" t="n">
        <f aca="false">IFERROR(__xludf.dummyfunction("""COMPUTED_VALUE"""),240)</f>
        <v>240</v>
      </c>
      <c r="H378" s="21" t="str">
        <f aca="false">IFERROR(__xludf.dummyfunction("IF(D378,filter(Productos!AC:AC,Productos!A:A=B378),)"),"fabrica")</f>
        <v>fabrica</v>
      </c>
      <c r="I378" s="0" t="str">
        <f aca="false">IFERROR(__xludf.dummyfunction("""COMPUTED_VALUE"""),"")</f>
        <v/>
      </c>
      <c r="K378" s="0" t="e">
        <f aca="false">IF(D378,"{""sku"":"""&amp;B378&amp;""", ""costo"":"&amp;C378&amp;", ""grupo"":"""&amp;A378&amp;""", ""lote"":"&amp;D378&amp;", ""tiempo"":"&amp;E378&amp;", "&amp;F378&amp;", ""vencimiento"":"&amp;G378&amp;IF(I378,", ""precio"":"&amp;I378,)&amp;", ""tipo"":"""&amp;H378&amp;"""},",)</f>
        <v>#VALUE!</v>
      </c>
    </row>
    <row r="379" customFormat="false" ht="13" hidden="false" customHeight="false" outlineLevel="0" collapsed="false">
      <c r="A379" s="17" t="n">
        <v>6</v>
      </c>
      <c r="B379" s="0" t="n">
        <f aca="false">IFERROR(__xludf.dummyfunction("""COMPUTED_VALUE"""),1101)</f>
        <v>1101</v>
      </c>
      <c r="C379" s="24" t="n">
        <f aca="false">IFERROR(__xludf.dummyfunction("""COMPUTED_VALUE"""),500)</f>
        <v>500</v>
      </c>
      <c r="D379" s="0" t="n">
        <f aca="false">IFERROR(__xludf.dummyfunction("""COMPUTED_VALUE"""),10)</f>
        <v>10</v>
      </c>
      <c r="E379" s="0" t="n">
        <f aca="false">IFERROR(__xludf.dummyfunction("""COMPUTED_VALUE"""),40)</f>
        <v>40</v>
      </c>
      <c r="F379" s="0" t="str">
        <f aca="false">IFERROR(__xludf.dummyfunction("filter(Formulas!$C:$C,Formulas!$A:$A=B379)"),"""formula"":[{""sku"":""1001"",""req"":8},{""sku"":""1003"",""req"":3},{""sku"":""1004"",""req"":2},{""sku"":""1002"",""req"":4}]")</f>
        <v>"formula":[{"sku":"1001","req":8},{"sku":"1003","req":3},{"sku":"1004","req":2},{"sku":"1002","req":4}]</v>
      </c>
      <c r="G379" s="0" t="n">
        <f aca="false">IFERROR(__xludf.dummyfunction("""COMPUTED_VALUE"""),3)</f>
        <v>3</v>
      </c>
      <c r="H379" s="21" t="str">
        <f aca="false">IFERROR(__xludf.dummyfunction("IF(D379,filter(Productos!AC:AC,Productos!A:A=B379),)"),"fabrica")</f>
        <v>fabrica</v>
      </c>
      <c r="I379" s="24" t="str">
        <f aca="false">IFERROR(__xludf.dummyfunction("""COMPUTED_VALUE"""),"")</f>
        <v/>
      </c>
      <c r="K379" s="0" t="e">
        <f aca="false">IF(D379,"{""sku"":"""&amp;B379&amp;""", ""costo"":"&amp;C379&amp;", ""grupo"":"""&amp;A379&amp;""", ""lote"":"&amp;D379&amp;", ""tiempo"":"&amp;E379&amp;", "&amp;F379&amp;", ""vencimiento"":"&amp;G379&amp;IF(I379,", ""precio"":"&amp;I379,)&amp;", ""tipo"":"""&amp;H379&amp;"""},",)</f>
        <v>#VALUE!</v>
      </c>
    </row>
    <row r="380" customFormat="false" ht="13" hidden="false" customHeight="false" outlineLevel="0" collapsed="false">
      <c r="A380" s="16" t="n">
        <v>6</v>
      </c>
      <c r="B380" s="0" t="n">
        <f aca="false">IFERROR(__xludf.dummyfunction("""COMPUTED_VALUE"""),1105)</f>
        <v>1105</v>
      </c>
      <c r="C380" s="24" t="n">
        <f aca="false">IFERROR(__xludf.dummyfunction("""COMPUTED_VALUE"""),10)</f>
        <v>10</v>
      </c>
      <c r="D380" s="0" t="n">
        <f aca="false">IFERROR(__xludf.dummyfunction("""COMPUTED_VALUE"""),10)</f>
        <v>10</v>
      </c>
      <c r="E380" s="0" t="n">
        <f aca="false">IFERROR(__xludf.dummyfunction("""COMPUTED_VALUE"""),10)</f>
        <v>10</v>
      </c>
      <c r="F380" s="0" t="str">
        <f aca="false">IFERROR(__xludf.dummyfunction("filter(Formulas!$C:$C,Formulas!$A:$A=B380)"),"""formula"":[{""sku"":""1005"",""req"":1}]")</f>
        <v>"formula":[{"sku":"1005","req":1}]</v>
      </c>
      <c r="G380" s="0" t="n">
        <f aca="false">IFERROR(__xludf.dummyfunction("""COMPUTED_VALUE"""),3)</f>
        <v>3</v>
      </c>
      <c r="H380" s="21" t="str">
        <f aca="false">IFERROR(__xludf.dummyfunction("IF(D380,filter(Productos!AC:AC,Productos!A:A=B380),)"),"fabrica")</f>
        <v>fabrica</v>
      </c>
      <c r="I380" s="24" t="str">
        <f aca="false">IFERROR(__xludf.dummyfunction("""COMPUTED_VALUE"""),"")</f>
        <v/>
      </c>
      <c r="K380" s="0" t="e">
        <f aca="false">IF(D380,"{""sku"":"""&amp;B380&amp;""", ""costo"":"&amp;C380&amp;", ""grupo"":"""&amp;A380&amp;""", ""lote"":"&amp;D380&amp;", ""tiempo"":"&amp;E380&amp;", "&amp;F380&amp;", ""vencimiento"":"&amp;G380&amp;IF(I380,", ""precio"":"&amp;I380,)&amp;", ""tipo"":"""&amp;H380&amp;"""},",)</f>
        <v>#VALUE!</v>
      </c>
    </row>
    <row r="381" customFormat="false" ht="13" hidden="false" customHeight="false" outlineLevel="0" collapsed="false">
      <c r="A381" s="17" t="n">
        <v>6</v>
      </c>
      <c r="B381" s="0" t="n">
        <f aca="false">IFERROR(__xludf.dummyfunction("""COMPUTED_VALUE"""),1106)</f>
        <v>1106</v>
      </c>
      <c r="C381" s="24" t="n">
        <f aca="false">IFERROR(__xludf.dummyfunction("""COMPUTED_VALUE"""),700)</f>
        <v>700</v>
      </c>
      <c r="D381" s="0" t="n">
        <f aca="false">IFERROR(__xludf.dummyfunction("""COMPUTED_VALUE"""),100)</f>
        <v>100</v>
      </c>
      <c r="E381" s="0" t="n">
        <f aca="false">IFERROR(__xludf.dummyfunction("""COMPUTED_VALUE"""),30)</f>
        <v>30</v>
      </c>
      <c r="F381" s="0" t="str">
        <f aca="false">IFERROR(__xludf.dummyfunction("filter(Formulas!$C:$C,Formulas!$A:$A=B381)"),"""formula"":[{""sku"":""1006"",""req"":1}]")</f>
        <v>"formula":[{"sku":"1006","req":1}]</v>
      </c>
      <c r="G381" s="0" t="n">
        <f aca="false">IFERROR(__xludf.dummyfunction("""COMPUTED_VALUE"""),4)</f>
        <v>4</v>
      </c>
      <c r="H381" s="21" t="str">
        <f aca="false">IFERROR(__xludf.dummyfunction("IF(D381,filter(Productos!AC:AC,Productos!A:A=B381),)"),"fabrica")</f>
        <v>fabrica</v>
      </c>
      <c r="I381" s="24" t="str">
        <f aca="false">IFERROR(__xludf.dummyfunction("""COMPUTED_VALUE"""),"")</f>
        <v/>
      </c>
      <c r="K381" s="0" t="e">
        <f aca="false">IF(D381,"{""sku"":"""&amp;B381&amp;""", ""costo"":"&amp;C381&amp;", ""grupo"":"""&amp;A381&amp;""", ""lote"":"&amp;D381&amp;", ""tiempo"":"&amp;E381&amp;", "&amp;F381&amp;", ""vencimiento"":"&amp;G381&amp;IF(I381,", ""precio"":"&amp;I381,)&amp;", ""tipo"":"""&amp;H381&amp;"""},",)</f>
        <v>#VALUE!</v>
      </c>
    </row>
    <row r="382" customFormat="false" ht="13" hidden="false" customHeight="false" outlineLevel="0" collapsed="false">
      <c r="A382" s="16" t="n">
        <v>6</v>
      </c>
      <c r="B382" s="0" t="n">
        <f aca="false">IFERROR(__xludf.dummyfunction("""COMPUTED_VALUE"""),1107)</f>
        <v>1107</v>
      </c>
      <c r="C382" s="24" t="n">
        <f aca="false">IFERROR(__xludf.dummyfunction("""COMPUTED_VALUE"""),10)</f>
        <v>10</v>
      </c>
      <c r="D382" s="0" t="n">
        <f aca="false">IFERROR(__xludf.dummyfunction("""COMPUTED_VALUE"""),11)</f>
        <v>11</v>
      </c>
      <c r="E382" s="0" t="n">
        <f aca="false">IFERROR(__xludf.dummyfunction("""COMPUTED_VALUE"""),20)</f>
        <v>20</v>
      </c>
      <c r="F382" s="0" t="str">
        <f aca="false">IFERROR(__xludf.dummyfunction("filter(Formulas!$C:$C,Formulas!$A:$A=B382)"),"""formula"":[{""sku"":""1007"",""req"":1}]")</f>
        <v>"formula":[{"sku":"1007","req":1}]</v>
      </c>
      <c r="G382" s="0" t="n">
        <f aca="false">IFERROR(__xludf.dummyfunction("""COMPUTED_VALUE"""),2)</f>
        <v>2</v>
      </c>
      <c r="H382" s="21" t="str">
        <f aca="false">IFERROR(__xludf.dummyfunction("IF(D382,filter(Productos!AC:AC,Productos!A:A=B382),)"),"fabrica")</f>
        <v>fabrica</v>
      </c>
      <c r="I382" s="24" t="str">
        <f aca="false">IFERROR(__xludf.dummyfunction("""COMPUTED_VALUE"""),"")</f>
        <v/>
      </c>
      <c r="K382" s="0" t="e">
        <f aca="false">IF(D382,"{""sku"":"""&amp;B382&amp;""", ""costo"":"&amp;C382&amp;", ""grupo"":"""&amp;A382&amp;""", ""lote"":"&amp;D382&amp;", ""tiempo"":"&amp;E382&amp;", "&amp;F382&amp;", ""vencimiento"":"&amp;G382&amp;IF(I382,", ""precio"":"&amp;I382,)&amp;", ""tipo"":"""&amp;H382&amp;"""},",)</f>
        <v>#VALUE!</v>
      </c>
    </row>
    <row r="383" customFormat="false" ht="13" hidden="false" customHeight="false" outlineLevel="0" collapsed="false">
      <c r="A383" s="17" t="n">
        <v>6</v>
      </c>
      <c r="B383" s="0" t="n">
        <f aca="false">IFERROR(__xludf.dummyfunction("""COMPUTED_VALUE"""),1108)</f>
        <v>1108</v>
      </c>
      <c r="C383" s="24" t="n">
        <f aca="false">IFERROR(__xludf.dummyfunction("""COMPUTED_VALUE"""),10)</f>
        <v>10</v>
      </c>
      <c r="D383" s="0" t="n">
        <f aca="false">IFERROR(__xludf.dummyfunction("""COMPUTED_VALUE"""),6)</f>
        <v>6</v>
      </c>
      <c r="E383" s="0" t="n">
        <f aca="false">IFERROR(__xludf.dummyfunction("""COMPUTED_VALUE"""),20)</f>
        <v>20</v>
      </c>
      <c r="F383" s="0" t="str">
        <f aca="false">IFERROR(__xludf.dummyfunction("filter(Formulas!$C:$C,Formulas!$A:$A=B383)"),"""formula"":[{""sku"":""1008"",""req"":1}]")</f>
        <v>"formula":[{"sku":"1008","req":1}]</v>
      </c>
      <c r="G383" s="0" t="n">
        <f aca="false">IFERROR(__xludf.dummyfunction("""COMPUTED_VALUE"""),4)</f>
        <v>4</v>
      </c>
      <c r="H383" s="21" t="str">
        <f aca="false">IFERROR(__xludf.dummyfunction("IF(D383,filter(Productos!AC:AC,Productos!A:A=B383),)"),"fabrica")</f>
        <v>fabrica</v>
      </c>
      <c r="I383" s="24" t="str">
        <f aca="false">IFERROR(__xludf.dummyfunction("""COMPUTED_VALUE"""),"")</f>
        <v/>
      </c>
      <c r="K383" s="0" t="e">
        <f aca="false">IF(D383,"{""sku"":"""&amp;B383&amp;""", ""costo"":"&amp;C383&amp;", ""grupo"":"""&amp;A383&amp;""", ""lote"":"&amp;D383&amp;", ""tiempo"":"&amp;E383&amp;", "&amp;F383&amp;", ""vencimiento"":"&amp;G383&amp;IF(I383,", ""precio"":"&amp;I383,)&amp;", ""tipo"":"""&amp;H383&amp;"""},",)</f>
        <v>#VALUE!</v>
      </c>
    </row>
    <row r="384" customFormat="false" ht="13" hidden="false" customHeight="false" outlineLevel="0" collapsed="false">
      <c r="A384" s="16" t="n">
        <v>6</v>
      </c>
      <c r="B384" s="0" t="n">
        <f aca="false">IFERROR(__xludf.dummyfunction("""COMPUTED_VALUE"""),1109)</f>
        <v>1109</v>
      </c>
      <c r="C384" s="24" t="n">
        <f aca="false">IFERROR(__xludf.dummyfunction("""COMPUTED_VALUE"""),10)</f>
        <v>10</v>
      </c>
      <c r="D384" s="0" t="n">
        <f aca="false">IFERROR(__xludf.dummyfunction("""COMPUTED_VALUE"""),12)</f>
        <v>12</v>
      </c>
      <c r="E384" s="0" t="n">
        <f aca="false">IFERROR(__xludf.dummyfunction("""COMPUTED_VALUE"""),30)</f>
        <v>30</v>
      </c>
      <c r="F384" s="0" t="str">
        <f aca="false">IFERROR(__xludf.dummyfunction("filter(Formulas!$C:$C,Formulas!$A:$A=B384)"),"""formula"":[{""sku"":""1009"",""req"":1}]")</f>
        <v>"formula":[{"sku":"1009","req":1}]</v>
      </c>
      <c r="G384" s="0" t="n">
        <f aca="false">IFERROR(__xludf.dummyfunction("""COMPUTED_VALUE"""),1.5)</f>
        <v>1.5</v>
      </c>
      <c r="H384" s="21" t="str">
        <f aca="false">IFERROR(__xludf.dummyfunction("IF(D384,filter(Productos!AC:AC,Productos!A:A=B384),)"),"fabrica")</f>
        <v>fabrica</v>
      </c>
      <c r="I384" s="24" t="str">
        <f aca="false">IFERROR(__xludf.dummyfunction("""COMPUTED_VALUE"""),"")</f>
        <v/>
      </c>
      <c r="K384" s="0" t="e">
        <f aca="false">IF(D384,"{""sku"":"""&amp;B384&amp;""", ""costo"":"&amp;C384&amp;", ""grupo"":"""&amp;A384&amp;""", ""lote"":"&amp;D384&amp;", ""tiempo"":"&amp;E384&amp;", "&amp;F384&amp;", ""vencimiento"":"&amp;G384&amp;IF(I384,", ""precio"":"&amp;I384,)&amp;", ""tipo"":"""&amp;H384&amp;"""},",)</f>
        <v>#VALUE!</v>
      </c>
    </row>
    <row r="385" customFormat="false" ht="13" hidden="false" customHeight="false" outlineLevel="0" collapsed="false">
      <c r="A385" s="17" t="n">
        <v>6</v>
      </c>
      <c r="B385" s="0" t="n">
        <f aca="false">IFERROR(__xludf.dummyfunction("""COMPUTED_VALUE"""),1110)</f>
        <v>1110</v>
      </c>
      <c r="C385" s="24" t="n">
        <f aca="false">IFERROR(__xludf.dummyfunction("""COMPUTED_VALUE"""),10)</f>
        <v>10</v>
      </c>
      <c r="D385" s="0" t="n">
        <f aca="false">IFERROR(__xludf.dummyfunction("""COMPUTED_VALUE"""),6)</f>
        <v>6</v>
      </c>
      <c r="E385" s="0" t="n">
        <f aca="false">IFERROR(__xludf.dummyfunction("""COMPUTED_VALUE"""),10)</f>
        <v>10</v>
      </c>
      <c r="F385" s="0" t="str">
        <f aca="false">IFERROR(__xludf.dummyfunction("filter(Formulas!$C:$C,Formulas!$A:$A=B385)"),"""formula"":[{""sku"":""1010"",""req"":1}]")</f>
        <v>"formula":[{"sku":"1010","req":1}]</v>
      </c>
      <c r="G385" s="0" t="n">
        <f aca="false">IFERROR(__xludf.dummyfunction("""COMPUTED_VALUE"""),2)</f>
        <v>2</v>
      </c>
      <c r="H385" s="21" t="str">
        <f aca="false">IFERROR(__xludf.dummyfunction("IF(D385,filter(Productos!AC:AC,Productos!A:A=B385),)"),"fabrica")</f>
        <v>fabrica</v>
      </c>
      <c r="I385" s="24" t="str">
        <f aca="false">IFERROR(__xludf.dummyfunction("""COMPUTED_VALUE"""),"")</f>
        <v/>
      </c>
      <c r="K385" s="0" t="e">
        <f aca="false">IF(D385,"{""sku"":"""&amp;B385&amp;""", ""costo"":"&amp;C385&amp;", ""grupo"":"""&amp;A385&amp;""", ""lote"":"&amp;D385&amp;", ""tiempo"":"&amp;E385&amp;", "&amp;F385&amp;", ""vencimiento"":"&amp;G385&amp;IF(I385,", ""precio"":"&amp;I385,)&amp;", ""tipo"":"""&amp;H385&amp;"""},",)</f>
        <v>#VALUE!</v>
      </c>
    </row>
    <row r="386" customFormat="false" ht="13" hidden="false" customHeight="false" outlineLevel="0" collapsed="false">
      <c r="A386" s="16" t="n">
        <v>6</v>
      </c>
      <c r="B386" s="0" t="n">
        <f aca="false">IFERROR(__xludf.dummyfunction("""COMPUTED_VALUE"""),1111)</f>
        <v>1111</v>
      </c>
      <c r="C386" s="24" t="n">
        <f aca="false">IFERROR(__xludf.dummyfunction("""COMPUTED_VALUE"""),120)</f>
        <v>120</v>
      </c>
      <c r="D386" s="0" t="n">
        <f aca="false">IFERROR(__xludf.dummyfunction("""COMPUTED_VALUE"""),2)</f>
        <v>2</v>
      </c>
      <c r="E386" s="0" t="n">
        <f aca="false">IFERROR(__xludf.dummyfunction("""COMPUTED_VALUE"""),30)</f>
        <v>30</v>
      </c>
      <c r="F386" s="0" t="str">
        <f aca="false">IFERROR(__xludf.dummyfunction("filter(Formulas!$C:$C,Formulas!$A:$A=B386)"),"""formula"":[{""sku"":""1011"",""req"":2}]")</f>
        <v>"formula":[{"sku":"1011","req":2}]</v>
      </c>
      <c r="G386" s="0" t="n">
        <f aca="false">IFERROR(__xludf.dummyfunction("""COMPUTED_VALUE"""),12)</f>
        <v>12</v>
      </c>
      <c r="H386" s="21" t="str">
        <f aca="false">IFERROR(__xludf.dummyfunction("IF(D386,filter(Productos!AC:AC,Productos!A:A=B386),)"),"fabrica")</f>
        <v>fabrica</v>
      </c>
      <c r="I386" s="24" t="str">
        <f aca="false">IFERROR(__xludf.dummyfunction("""COMPUTED_VALUE"""),"")</f>
        <v/>
      </c>
      <c r="K386" s="0" t="e">
        <f aca="false">IF(D386,"{""sku"":"""&amp;B386&amp;""", ""costo"":"&amp;C386&amp;", ""grupo"":"""&amp;A386&amp;""", ""lote"":"&amp;D386&amp;", ""tiempo"":"&amp;E386&amp;", "&amp;F386&amp;", ""vencimiento"":"&amp;G386&amp;IF(I386,", ""precio"":"&amp;I386,)&amp;", ""tipo"":"""&amp;H386&amp;"""},",)</f>
        <v>#VALUE!</v>
      </c>
    </row>
    <row r="387" customFormat="false" ht="13" hidden="false" customHeight="false" outlineLevel="0" collapsed="false">
      <c r="A387" s="17" t="n">
        <v>6</v>
      </c>
      <c r="B387" s="0" t="n">
        <f aca="false">IFERROR(__xludf.dummyfunction("""COMPUTED_VALUE"""),1112)</f>
        <v>1112</v>
      </c>
      <c r="C387" s="24" t="n">
        <f aca="false">IFERROR(__xludf.dummyfunction("""COMPUTED_VALUE"""),10)</f>
        <v>10</v>
      </c>
      <c r="D387" s="0" t="n">
        <f aca="false">IFERROR(__xludf.dummyfunction("""COMPUTED_VALUE"""),20)</f>
        <v>20</v>
      </c>
      <c r="E387" s="0" t="n">
        <f aca="false">IFERROR(__xludf.dummyfunction("""COMPUTED_VALUE"""),10)</f>
        <v>10</v>
      </c>
      <c r="F387" s="0" t="str">
        <f aca="false">IFERROR(__xludf.dummyfunction("filter(Formulas!$C:$C,Formulas!$A:$A=B387)"),"""formula"":[{""sku"":""1012"",""req"":1}]")</f>
        <v>"formula":[{"sku":"1012","req":1}]</v>
      </c>
      <c r="G387" s="0" t="n">
        <f aca="false">IFERROR(__xludf.dummyfunction("""COMPUTED_VALUE"""),24)</f>
        <v>24</v>
      </c>
      <c r="H387" s="21" t="str">
        <f aca="false">IFERROR(__xludf.dummyfunction("IF(D387,filter(Productos!AC:AC,Productos!A:A=B387),)"),"fabrica")</f>
        <v>fabrica</v>
      </c>
      <c r="I387" s="24" t="str">
        <f aca="false">IFERROR(__xludf.dummyfunction("""COMPUTED_VALUE"""),"")</f>
        <v/>
      </c>
      <c r="K387" s="0" t="e">
        <f aca="false">IF(D387,"{""sku"":"""&amp;B387&amp;""", ""costo"":"&amp;C387&amp;", ""grupo"":"""&amp;A387&amp;""", ""lote"":"&amp;D387&amp;", ""tiempo"":"&amp;E387&amp;", "&amp;F387&amp;", ""vencimiento"":"&amp;G387&amp;IF(I387,", ""precio"":"&amp;I387,)&amp;", ""tipo"":"""&amp;H387&amp;"""},",)</f>
        <v>#VALUE!</v>
      </c>
    </row>
    <row r="388" customFormat="false" ht="13" hidden="false" customHeight="false" outlineLevel="0" collapsed="false">
      <c r="A388" s="16" t="n">
        <v>6</v>
      </c>
      <c r="B388" s="0" t="n">
        <f aca="false">IFERROR(__xludf.dummyfunction("""COMPUTED_VALUE"""),1114)</f>
        <v>1114</v>
      </c>
      <c r="C388" s="24" t="n">
        <f aca="false">IFERROR(__xludf.dummyfunction("""COMPUTED_VALUE"""),10)</f>
        <v>10</v>
      </c>
      <c r="D388" s="0" t="n">
        <f aca="false">IFERROR(__xludf.dummyfunction("""COMPUTED_VALUE"""),4)</f>
        <v>4</v>
      </c>
      <c r="E388" s="0" t="n">
        <f aca="false">IFERROR(__xludf.dummyfunction("""COMPUTED_VALUE"""),10)</f>
        <v>10</v>
      </c>
      <c r="F388" s="0" t="str">
        <f aca="false">IFERROR(__xludf.dummyfunction("filter(Formulas!$C:$C,Formulas!$A:$A=B388)"),"""formula"":[{""sku"":""1014"",""req"":1}]")</f>
        <v>"formula":[{"sku":"1014","req":1}]</v>
      </c>
      <c r="G388" s="0" t="n">
        <f aca="false">IFERROR(__xludf.dummyfunction("""COMPUTED_VALUE"""),2)</f>
        <v>2</v>
      </c>
      <c r="H388" s="21" t="str">
        <f aca="false">IFERROR(__xludf.dummyfunction("IF(D388,filter(Productos!AC:AC,Productos!A:A=B388),)"),"fabrica")</f>
        <v>fabrica</v>
      </c>
      <c r="I388" s="24" t="str">
        <f aca="false">IFERROR(__xludf.dummyfunction("""COMPUTED_VALUE"""),"")</f>
        <v/>
      </c>
      <c r="K388" s="0" t="e">
        <f aca="false">IF(D388,"{""sku"":"""&amp;B388&amp;""", ""costo"":"&amp;C388&amp;", ""grupo"":"""&amp;A388&amp;""", ""lote"":"&amp;D388&amp;", ""tiempo"":"&amp;E388&amp;", "&amp;F388&amp;", ""vencimiento"":"&amp;G388&amp;IF(I388,", ""precio"":"&amp;I388,)&amp;", ""tipo"":"""&amp;H388&amp;"""},",)</f>
        <v>#VALUE!</v>
      </c>
    </row>
    <row r="389" customFormat="false" ht="13" hidden="false" customHeight="false" outlineLevel="0" collapsed="false">
      <c r="A389" s="17" t="n">
        <v>6</v>
      </c>
      <c r="B389" s="0" t="n">
        <f aca="false">IFERROR(__xludf.dummyfunction("""COMPUTED_VALUE"""),1115)</f>
        <v>1115</v>
      </c>
      <c r="C389" s="24" t="n">
        <f aca="false">IFERROR(__xludf.dummyfunction("""COMPUTED_VALUE"""),10)</f>
        <v>10</v>
      </c>
      <c r="D389" s="0" t="n">
        <f aca="false">IFERROR(__xludf.dummyfunction("""COMPUTED_VALUE"""),8)</f>
        <v>8</v>
      </c>
      <c r="E389" s="0" t="n">
        <f aca="false">IFERROR(__xludf.dummyfunction("""COMPUTED_VALUE"""),10)</f>
        <v>10</v>
      </c>
      <c r="F389" s="0" t="str">
        <f aca="false">IFERROR(__xludf.dummyfunction("filter(Formulas!$C:$C,Formulas!$A:$A=B389)"),"""formula"":[{""sku"":""1015"",""req"":2}]")</f>
        <v>"formula":[{"sku":"1015","req":2}]</v>
      </c>
      <c r="G389" s="0" t="n">
        <f aca="false">IFERROR(__xludf.dummyfunction("""COMPUTED_VALUE"""),3)</f>
        <v>3</v>
      </c>
      <c r="H389" s="21" t="str">
        <f aca="false">IFERROR(__xludf.dummyfunction("IF(D389,filter(Productos!AC:AC,Productos!A:A=B389),)"),"fabrica")</f>
        <v>fabrica</v>
      </c>
      <c r="I389" s="24" t="str">
        <f aca="false">IFERROR(__xludf.dummyfunction("""COMPUTED_VALUE"""),"")</f>
        <v/>
      </c>
      <c r="K389" s="0" t="e">
        <f aca="false">IF(D389,"{""sku"":"""&amp;B389&amp;""", ""costo"":"&amp;C389&amp;", ""grupo"":"""&amp;A389&amp;""", ""lote"":"&amp;D389&amp;", ""tiempo"":"&amp;E389&amp;", "&amp;F389&amp;", ""vencimiento"":"&amp;G389&amp;IF(I389,", ""precio"":"&amp;I389,)&amp;", ""tipo"":"""&amp;H389&amp;"""},",)</f>
        <v>#VALUE!</v>
      </c>
    </row>
    <row r="390" customFormat="false" ht="13" hidden="false" customHeight="false" outlineLevel="0" collapsed="false">
      <c r="A390" s="16" t="n">
        <v>6</v>
      </c>
      <c r="B390" s="0" t="n">
        <f aca="false">IFERROR(__xludf.dummyfunction("""COMPUTED_VALUE"""),1116)</f>
        <v>1116</v>
      </c>
      <c r="C390" s="24" t="n">
        <f aca="false">IFERROR(__xludf.dummyfunction("""COMPUTED_VALUE"""),10)</f>
        <v>10</v>
      </c>
      <c r="D390" s="0" t="n">
        <f aca="false">IFERROR(__xludf.dummyfunction("""COMPUTED_VALUE"""),10)</f>
        <v>10</v>
      </c>
      <c r="E390" s="0" t="n">
        <f aca="false">IFERROR(__xludf.dummyfunction("""COMPUTED_VALUE"""),40)</f>
        <v>40</v>
      </c>
      <c r="F390" s="0" t="str">
        <f aca="false">IFERROR(__xludf.dummyfunction("filter(Formulas!$C:$C,Formulas!$A:$A=B390)"),"""formula"":[{""sku"":""1016"",""req"":11}]")</f>
        <v>"formula":[{"sku":"1016","req":11}]</v>
      </c>
      <c r="G390" s="0" t="n">
        <f aca="false">IFERROR(__xludf.dummyfunction("""COMPUTED_VALUE"""),24)</f>
        <v>24</v>
      </c>
      <c r="H390" s="21" t="str">
        <f aca="false">IFERROR(__xludf.dummyfunction("IF(D390,filter(Productos!AC:AC,Productos!A:A=B390),)"),"fabrica")</f>
        <v>fabrica</v>
      </c>
      <c r="I390" s="0" t="str">
        <f aca="false">IFERROR(__xludf.dummyfunction("""COMPUTED_VALUE"""),"")</f>
        <v/>
      </c>
      <c r="K390" s="0" t="e">
        <f aca="false">IF(D390,"{""sku"":"""&amp;B390&amp;""", ""costo"":"&amp;C390&amp;", ""grupo"":"""&amp;A390&amp;""", ""lote"":"&amp;D390&amp;", ""tiempo"":"&amp;E390&amp;", "&amp;F390&amp;", ""vencimiento"":"&amp;G390&amp;IF(I390,", ""precio"":"&amp;I390,)&amp;", ""tipo"":"""&amp;H390&amp;"""},",)</f>
        <v>#VALUE!</v>
      </c>
    </row>
    <row r="391" customFormat="false" ht="13" hidden="false" customHeight="false" outlineLevel="0" collapsed="false">
      <c r="A391" s="17" t="n">
        <v>6</v>
      </c>
      <c r="B391" s="0" t="n">
        <f aca="false">IFERROR(__xludf.dummyfunction("""COMPUTED_VALUE"""),1201)</f>
        <v>1201</v>
      </c>
      <c r="C391" s="24" t="n">
        <f aca="false">IFERROR(__xludf.dummyfunction("""COMPUTED_VALUE"""),10)</f>
        <v>10</v>
      </c>
      <c r="D391" s="0" t="n">
        <f aca="false">IFERROR(__xludf.dummyfunction("""COMPUTED_VALUE"""),10)</f>
        <v>10</v>
      </c>
      <c r="E391" s="0" t="n">
        <f aca="false">IFERROR(__xludf.dummyfunction("""COMPUTED_VALUE"""),10)</f>
        <v>10</v>
      </c>
      <c r="F391" s="0" t="str">
        <f aca="false">IFERROR(__xludf.dummyfunction("filter(Formulas!$C:$C,Formulas!$A:$A=B391)"),"""formula"":[{""sku"":""1101"",""req"":1}]")</f>
        <v>"formula":[{"sku":"1101","req":1}]</v>
      </c>
      <c r="G391" s="0" t="n">
        <f aca="false">IFERROR(__xludf.dummyfunction("""COMPUTED_VALUE"""),2)</f>
        <v>2</v>
      </c>
      <c r="H391" s="21" t="str">
        <f aca="false">IFERROR(__xludf.dummyfunction("IF(D391,filter(Productos!AC:AC,Productos!A:A=B391),)"),"fabrica")</f>
        <v>fabrica</v>
      </c>
      <c r="I391" s="24" t="str">
        <f aca="false">IFERROR(__xludf.dummyfunction("""COMPUTED_VALUE"""),"")</f>
        <v/>
      </c>
      <c r="K391" s="0" t="e">
        <f aca="false">IF(D391,"{""sku"":"""&amp;B391&amp;""", ""costo"":"&amp;C391&amp;", ""grupo"":"""&amp;A391&amp;""", ""lote"":"&amp;D391&amp;", ""tiempo"":"&amp;E391&amp;", "&amp;F391&amp;", ""vencimiento"":"&amp;G391&amp;IF(I391,", ""precio"":"&amp;I391,)&amp;", ""tipo"":"""&amp;H391&amp;"""},",)</f>
        <v>#VALUE!</v>
      </c>
    </row>
    <row r="392" customFormat="false" ht="13" hidden="false" customHeight="false" outlineLevel="0" collapsed="false">
      <c r="A392" s="16" t="n">
        <v>6</v>
      </c>
      <c r="B392" s="0" t="n">
        <f aca="false">IFERROR(__xludf.dummyfunction("""COMPUTED_VALUE"""),1207)</f>
        <v>1207</v>
      </c>
      <c r="C392" s="24" t="n">
        <f aca="false">IFERROR(__xludf.dummyfunction("""COMPUTED_VALUE"""),30)</f>
        <v>30</v>
      </c>
      <c r="D392" s="0" t="n">
        <f aca="false">IFERROR(__xludf.dummyfunction("""COMPUTED_VALUE"""),12)</f>
        <v>12</v>
      </c>
      <c r="E392" s="0" t="n">
        <f aca="false">IFERROR(__xludf.dummyfunction("""COMPUTED_VALUE"""),20)</f>
        <v>20</v>
      </c>
      <c r="F392" s="0" t="str">
        <f aca="false">IFERROR(__xludf.dummyfunction("filter(Formulas!$C:$C,Formulas!$A:$A=B392)"),"""formula"":[{""sku"":""1007"",""req"":1}]")</f>
        <v>"formula":[{"sku":"1007","req":1}]</v>
      </c>
      <c r="G392" s="0" t="n">
        <f aca="false">IFERROR(__xludf.dummyfunction("""COMPUTED_VALUE"""),2)</f>
        <v>2</v>
      </c>
      <c r="H392" s="21" t="str">
        <f aca="false">IFERROR(__xludf.dummyfunction("IF(D392,filter(Productos!AC:AC,Productos!A:A=B392),)"),"fabrica")</f>
        <v>fabrica</v>
      </c>
      <c r="I392" s="24" t="str">
        <f aca="false">IFERROR(__xludf.dummyfunction("""COMPUTED_VALUE"""),"")</f>
        <v/>
      </c>
      <c r="K392" s="0" t="e">
        <f aca="false">IF(D392,"{""sku"":"""&amp;B392&amp;""", ""costo"":"&amp;C392&amp;", ""grupo"":"""&amp;A392&amp;""", ""lote"":"&amp;D392&amp;", ""tiempo"":"&amp;E392&amp;", "&amp;F392&amp;", ""vencimiento"":"&amp;G392&amp;IF(I392,", ""precio"":"&amp;I392,)&amp;", ""tipo"":"""&amp;H392&amp;"""},",)</f>
        <v>#VALUE!</v>
      </c>
    </row>
    <row r="393" customFormat="false" ht="13" hidden="false" customHeight="false" outlineLevel="0" collapsed="false">
      <c r="A393" s="17" t="n">
        <v>6</v>
      </c>
      <c r="B393" s="0" t="n">
        <f aca="false">IFERROR(__xludf.dummyfunction("""COMPUTED_VALUE"""),1209)</f>
        <v>1209</v>
      </c>
      <c r="C393" s="24" t="n">
        <f aca="false">IFERROR(__xludf.dummyfunction("""COMPUTED_VALUE"""),30)</f>
        <v>30</v>
      </c>
      <c r="D393" s="0" t="n">
        <f aca="false">IFERROR(__xludf.dummyfunction("""COMPUTED_VALUE"""),14)</f>
        <v>14</v>
      </c>
      <c r="E393" s="0" t="n">
        <f aca="false">IFERROR(__xludf.dummyfunction("""COMPUTED_VALUE"""),30)</f>
        <v>30</v>
      </c>
      <c r="F393" s="0" t="str">
        <f aca="false">IFERROR(__xludf.dummyfunction("filter(Formulas!$C:$C,Formulas!$A:$A=B393)"),"""formula"":[{""sku"":""1009"",""req"":1}]")</f>
        <v>"formula":[{"sku":"1009","req":1}]</v>
      </c>
      <c r="G393" s="0" t="n">
        <f aca="false">IFERROR(__xludf.dummyfunction("""COMPUTED_VALUE"""),1.5)</f>
        <v>1.5</v>
      </c>
      <c r="H393" s="21" t="str">
        <f aca="false">IFERROR(__xludf.dummyfunction("IF(D393,filter(Productos!AC:AC,Productos!A:A=B393),)"),"fabrica")</f>
        <v>fabrica</v>
      </c>
      <c r="I393" s="24" t="str">
        <f aca="false">IFERROR(__xludf.dummyfunction("""COMPUTED_VALUE"""),"")</f>
        <v/>
      </c>
      <c r="K393" s="0" t="e">
        <f aca="false">IF(D393,"{""sku"":"""&amp;B393&amp;""", ""costo"":"&amp;C393&amp;", ""grupo"":"""&amp;A393&amp;""", ""lote"":"&amp;D393&amp;", ""tiempo"":"&amp;E393&amp;", "&amp;F393&amp;", ""vencimiento"":"&amp;G393&amp;IF(I393,", ""precio"":"&amp;I393,)&amp;", ""tipo"":"""&amp;H393&amp;"""},",)</f>
        <v>#VALUE!</v>
      </c>
    </row>
    <row r="394" customFormat="false" ht="13" hidden="false" customHeight="false" outlineLevel="0" collapsed="false">
      <c r="A394" s="16" t="n">
        <v>6</v>
      </c>
      <c r="B394" s="0" t="n">
        <f aca="false">IFERROR(__xludf.dummyfunction("""COMPUTED_VALUE"""),1210)</f>
        <v>1210</v>
      </c>
      <c r="C394" s="24" t="n">
        <f aca="false">IFERROR(__xludf.dummyfunction("""COMPUTED_VALUE"""),10)</f>
        <v>10</v>
      </c>
      <c r="D394" s="0" t="n">
        <f aca="false">IFERROR(__xludf.dummyfunction("""COMPUTED_VALUE"""),9)</f>
        <v>9</v>
      </c>
      <c r="E394" s="0" t="n">
        <f aca="false">IFERROR(__xludf.dummyfunction("""COMPUTED_VALUE"""),10)</f>
        <v>10</v>
      </c>
      <c r="F394" s="0" t="str">
        <f aca="false">IFERROR(__xludf.dummyfunction("filter(Formulas!$C:$C,Formulas!$A:$A=B394)"),"""formula"":[{""sku"":""1010"",""req"":1}]")</f>
        <v>"formula":[{"sku":"1010","req":1}]</v>
      </c>
      <c r="G394" s="0" t="n">
        <f aca="false">IFERROR(__xludf.dummyfunction("""COMPUTED_VALUE"""),2.3)</f>
        <v>2.3</v>
      </c>
      <c r="H394" s="21" t="str">
        <f aca="false">IFERROR(__xludf.dummyfunction("IF(D394,filter(Productos!AC:AC,Productos!A:A=B394),)"),"fabrica")</f>
        <v>fabrica</v>
      </c>
      <c r="I394" s="24" t="str">
        <f aca="false">IFERROR(__xludf.dummyfunction("""COMPUTED_VALUE"""),"")</f>
        <v/>
      </c>
      <c r="K394" s="0" t="e">
        <f aca="false">IF(D394,"{""sku"":"""&amp;B394&amp;""", ""costo"":"&amp;C394&amp;", ""grupo"":"""&amp;A394&amp;""", ""lote"":"&amp;D394&amp;", ""tiempo"":"&amp;E394&amp;", "&amp;F394&amp;", ""vencimiento"":"&amp;G394&amp;IF(I394,", ""precio"":"&amp;I394,)&amp;", ""tipo"":"""&amp;H394&amp;"""},",)</f>
        <v>#VALUE!</v>
      </c>
    </row>
    <row r="395" customFormat="false" ht="13" hidden="false" customHeight="false" outlineLevel="0" collapsed="false">
      <c r="A395" s="17" t="n">
        <v>6</v>
      </c>
      <c r="B395" s="0" t="n">
        <f aca="false">IFERROR(__xludf.dummyfunction("""COMPUTED_VALUE"""),1211)</f>
        <v>1211</v>
      </c>
      <c r="C395" s="24" t="n">
        <f aca="false">IFERROR(__xludf.dummyfunction("""COMPUTED_VALUE"""),10)</f>
        <v>10</v>
      </c>
      <c r="D395" s="0" t="n">
        <f aca="false">IFERROR(__xludf.dummyfunction("""COMPUTED_VALUE"""),10)</f>
        <v>10</v>
      </c>
      <c r="E395" s="0" t="n">
        <f aca="false">IFERROR(__xludf.dummyfunction("""COMPUTED_VALUE"""),10)</f>
        <v>10</v>
      </c>
      <c r="F395" s="0" t="str">
        <f aca="false">IFERROR(__xludf.dummyfunction("filter(Formulas!$C:$C,Formulas!$A:$A=B395)"),"""formula"":[{""sku"":""1111"",""req"":1}]")</f>
        <v>"formula":[{"sku":"1111","req":1}]</v>
      </c>
      <c r="G395" s="0" t="n">
        <f aca="false">IFERROR(__xludf.dummyfunction("""COMPUTED_VALUE"""),12)</f>
        <v>12</v>
      </c>
      <c r="H395" s="21" t="str">
        <f aca="false">IFERROR(__xludf.dummyfunction("IF(D395,filter(Productos!AC:AC,Productos!A:A=B395),)"),"fabrica")</f>
        <v>fabrica</v>
      </c>
      <c r="I395" s="24" t="str">
        <f aca="false">IFERROR(__xludf.dummyfunction("""COMPUTED_VALUE"""),"")</f>
        <v/>
      </c>
      <c r="K395" s="0" t="e">
        <f aca="false">IF(D395,"{""sku"":"""&amp;B395&amp;""", ""costo"":"&amp;C395&amp;", ""grupo"":"""&amp;A395&amp;""", ""lote"":"&amp;D395&amp;", ""tiempo"":"&amp;E395&amp;", "&amp;F395&amp;", ""vencimiento"":"&amp;G395&amp;IF(I395,", ""precio"":"&amp;I395,)&amp;", ""tipo"":"""&amp;H395&amp;"""},",)</f>
        <v>#VALUE!</v>
      </c>
    </row>
    <row r="396" customFormat="false" ht="13" hidden="false" customHeight="false" outlineLevel="0" collapsed="false">
      <c r="A396" s="16" t="n">
        <v>6</v>
      </c>
      <c r="B396" s="0" t="n">
        <f aca="false">IFERROR(__xludf.dummyfunction("""COMPUTED_VALUE"""),1215)</f>
        <v>1215</v>
      </c>
      <c r="C396" s="24" t="n">
        <f aca="false">IFERROR(__xludf.dummyfunction("""COMPUTED_VALUE"""),0)</f>
        <v>0</v>
      </c>
      <c r="D396" s="0" t="n">
        <f aca="false">IFERROR(__xludf.dummyfunction("""COMPUTED_VALUE"""),8)</f>
        <v>8</v>
      </c>
      <c r="E396" s="0" t="n">
        <f aca="false">IFERROR(__xludf.dummyfunction("""COMPUTED_VALUE"""),10)</f>
        <v>10</v>
      </c>
      <c r="F396" s="0" t="str">
        <f aca="false">IFERROR(__xludf.dummyfunction("filter(Formulas!$C:$C,Formulas!$A:$A=B396)"),"""formula"":[{""sku"":""1015"",""req"":4}]")</f>
        <v>"formula":[{"sku":"1015","req":4}]</v>
      </c>
      <c r="G396" s="0" t="n">
        <f aca="false">IFERROR(__xludf.dummyfunction("""COMPUTED_VALUE"""),3)</f>
        <v>3</v>
      </c>
      <c r="H396" s="21" t="str">
        <f aca="false">IFERROR(__xludf.dummyfunction("IF(D396,filter(Productos!AC:AC,Productos!A:A=B396),)"),"fabrica")</f>
        <v>fabrica</v>
      </c>
      <c r="I396" s="24" t="str">
        <f aca="false">IFERROR(__xludf.dummyfunction("""COMPUTED_VALUE"""),"")</f>
        <v/>
      </c>
      <c r="K396" s="0" t="e">
        <f aca="false">IF(D396,"{""sku"":"""&amp;B396&amp;""", ""costo"":"&amp;C396&amp;", ""grupo"":"""&amp;A396&amp;""", ""lote"":"&amp;D396&amp;", ""tiempo"":"&amp;E396&amp;", "&amp;F396&amp;", ""vencimiento"":"&amp;G396&amp;IF(I396,", ""precio"":"&amp;I396,)&amp;", ""tipo"":"""&amp;H396&amp;"""},",)</f>
        <v>#VALUE!</v>
      </c>
    </row>
    <row r="397" customFormat="false" ht="13" hidden="false" customHeight="false" outlineLevel="0" collapsed="false">
      <c r="A397" s="17" t="n">
        <v>6</v>
      </c>
      <c r="B397" s="0" t="n">
        <f aca="false">IFERROR(__xludf.dummyfunction("""COMPUTED_VALUE"""),1216)</f>
        <v>1216</v>
      </c>
      <c r="C397" s="24" t="n">
        <f aca="false">IFERROR(__xludf.dummyfunction("""COMPUTED_VALUE"""),10)</f>
        <v>10</v>
      </c>
      <c r="D397" s="0" t="n">
        <f aca="false">IFERROR(__xludf.dummyfunction("""COMPUTED_VALUE"""),10)</f>
        <v>10</v>
      </c>
      <c r="E397" s="0" t="n">
        <f aca="false">IFERROR(__xludf.dummyfunction("""COMPUTED_VALUE"""),30)</f>
        <v>30</v>
      </c>
      <c r="F397" s="0" t="str">
        <f aca="false">IFERROR(__xludf.dummyfunction("filter(Formulas!$C:$C,Formulas!$A:$A=B397)"),"""formula"":[{""sku"":""1016"",""req"":2}]")</f>
        <v>"formula":[{"sku":"1016","req":2}]</v>
      </c>
      <c r="G397" s="0" t="n">
        <f aca="false">IFERROR(__xludf.dummyfunction("""COMPUTED_VALUE"""),24)</f>
        <v>24</v>
      </c>
      <c r="H397" s="21" t="str">
        <f aca="false">IFERROR(__xludf.dummyfunction("IF(D397,filter(Productos!AC:AC,Productos!A:A=B397),)"),"fabrica")</f>
        <v>fabrica</v>
      </c>
      <c r="I397" s="0" t="str">
        <f aca="false">IFERROR(__xludf.dummyfunction("""COMPUTED_VALUE"""),"")</f>
        <v/>
      </c>
      <c r="K397" s="0" t="e">
        <f aca="false">IF(D397,"{""sku"":"""&amp;B397&amp;""", ""costo"":"&amp;C397&amp;", ""grupo"":"""&amp;A397&amp;""", ""lote"":"&amp;D397&amp;", ""tiempo"":"&amp;E397&amp;", "&amp;F397&amp;", ""vencimiento"":"&amp;G397&amp;IF(I397,", ""precio"":"&amp;I397,)&amp;", ""tipo"":"""&amp;H397&amp;"""},",)</f>
        <v>#VALUE!</v>
      </c>
    </row>
    <row r="398" customFormat="false" ht="13" hidden="false" customHeight="false" outlineLevel="0" collapsed="false">
      <c r="A398" s="16" t="n">
        <v>6</v>
      </c>
      <c r="B398" s="0" t="n">
        <f aca="false">IFERROR(__xludf.dummyfunction("""COMPUTED_VALUE"""),1301)</f>
        <v>1301</v>
      </c>
      <c r="C398" s="24" t="n">
        <f aca="false">IFERROR(__xludf.dummyfunction("""COMPUTED_VALUE"""),10)</f>
        <v>10</v>
      </c>
      <c r="D398" s="0" t="n">
        <f aca="false">IFERROR(__xludf.dummyfunction("""COMPUTED_VALUE"""),5)</f>
        <v>5</v>
      </c>
      <c r="E398" s="0" t="n">
        <f aca="false">IFERROR(__xludf.dummyfunction("""COMPUTED_VALUE"""),10)</f>
        <v>10</v>
      </c>
      <c r="F398" s="0" t="str">
        <f aca="false">IFERROR(__xludf.dummyfunction("filter(Formulas!$C:$C,Formulas!$A:$A=B398)"),"""formula"":[{""sku"":""1101"",""req"":1}]")</f>
        <v>"formula":[{"sku":"1101","req":1}]</v>
      </c>
      <c r="G398" s="0" t="n">
        <f aca="false">IFERROR(__xludf.dummyfunction("""COMPUTED_VALUE"""),2)</f>
        <v>2</v>
      </c>
      <c r="H398" s="21" t="str">
        <f aca="false">IFERROR(__xludf.dummyfunction("IF(D398,filter(Productos!AC:AC,Productos!A:A=B398),)"),"fabrica")</f>
        <v>fabrica</v>
      </c>
      <c r="I398" s="24" t="str">
        <f aca="false">IFERROR(__xludf.dummyfunction("""COMPUTED_VALUE"""),"")</f>
        <v/>
      </c>
      <c r="K398" s="0" t="e">
        <f aca="false">IF(D398,"{""sku"":"""&amp;B398&amp;""", ""costo"":"&amp;C398&amp;", ""grupo"":"""&amp;A398&amp;""", ""lote"":"&amp;D398&amp;", ""tiempo"":"&amp;E398&amp;", "&amp;F398&amp;", ""vencimiento"":"&amp;G398&amp;IF(I398,", ""precio"":"&amp;I398,)&amp;", ""tipo"":"""&amp;H398&amp;"""},",)</f>
        <v>#VALUE!</v>
      </c>
    </row>
    <row r="399" customFormat="false" ht="13" hidden="false" customHeight="false" outlineLevel="0" collapsed="false">
      <c r="A399" s="17" t="n">
        <v>6</v>
      </c>
      <c r="B399" s="0" t="n">
        <f aca="false">IFERROR(__xludf.dummyfunction("""COMPUTED_VALUE"""),1307)</f>
        <v>1307</v>
      </c>
      <c r="C399" s="24" t="n">
        <f aca="false">IFERROR(__xludf.dummyfunction("""COMPUTED_VALUE"""),50)</f>
        <v>50</v>
      </c>
      <c r="D399" s="0" t="n">
        <f aca="false">IFERROR(__xludf.dummyfunction("""COMPUTED_VALUE"""),11)</f>
        <v>11</v>
      </c>
      <c r="E399" s="0" t="n">
        <f aca="false">IFERROR(__xludf.dummyfunction("""COMPUTED_VALUE"""),30)</f>
        <v>30</v>
      </c>
      <c r="F399" s="0" t="str">
        <f aca="false">IFERROR(__xludf.dummyfunction("filter(Formulas!$C:$C,Formulas!$A:$A=B399)"),"""formula"":[{""sku"":""1007"",""req"":1}]")</f>
        <v>"formula":[{"sku":"1007","req":1}]</v>
      </c>
      <c r="G399" s="0" t="n">
        <f aca="false">IFERROR(__xludf.dummyfunction("""COMPUTED_VALUE"""),1.2)</f>
        <v>1.2</v>
      </c>
      <c r="H399" s="21" t="str">
        <f aca="false">IFERROR(__xludf.dummyfunction("IF(D399,filter(Productos!AC:AC,Productos!A:A=B399),)"),"fabrica")</f>
        <v>fabrica</v>
      </c>
      <c r="I399" s="24" t="str">
        <f aca="false">IFERROR(__xludf.dummyfunction("""COMPUTED_VALUE"""),"")</f>
        <v/>
      </c>
      <c r="K399" s="0" t="e">
        <f aca="false">IF(D399,"{""sku"":"""&amp;B399&amp;""", ""costo"":"&amp;C399&amp;", ""grupo"":"""&amp;A399&amp;""", ""lote"":"&amp;D399&amp;", ""tiempo"":"&amp;E399&amp;", "&amp;F399&amp;", ""vencimiento"":"&amp;G399&amp;IF(I399,", ""precio"":"&amp;I399,)&amp;", ""tipo"":"""&amp;H399&amp;"""},",)</f>
        <v>#VALUE!</v>
      </c>
    </row>
    <row r="400" customFormat="false" ht="13" hidden="false" customHeight="false" outlineLevel="0" collapsed="false">
      <c r="A400" s="16" t="n">
        <v>6</v>
      </c>
      <c r="B400" s="0" t="n">
        <f aca="false">IFERROR(__xludf.dummyfunction("""COMPUTED_VALUE"""),1309)</f>
        <v>1309</v>
      </c>
      <c r="C400" s="24" t="n">
        <f aca="false">IFERROR(__xludf.dummyfunction("""COMPUTED_VALUE"""),50)</f>
        <v>50</v>
      </c>
      <c r="D400" s="0" t="n">
        <f aca="false">IFERROR(__xludf.dummyfunction("""COMPUTED_VALUE"""),11)</f>
        <v>11</v>
      </c>
      <c r="E400" s="0" t="n">
        <f aca="false">IFERROR(__xludf.dummyfunction("""COMPUTED_VALUE"""),50)</f>
        <v>50</v>
      </c>
      <c r="F400" s="0" t="str">
        <f aca="false">IFERROR(__xludf.dummyfunction("filter(Formulas!$C:$C,Formulas!$A:$A=B400)"),"""formula"":[{""sku"":""1009"",""req"":1}]")</f>
        <v>"formula":[{"sku":"1009","req":1}]</v>
      </c>
      <c r="G400" s="0" t="n">
        <f aca="false">IFERROR(__xludf.dummyfunction("""COMPUTED_VALUE"""),1.2)</f>
        <v>1.2</v>
      </c>
      <c r="H400" s="21" t="str">
        <f aca="false">IFERROR(__xludf.dummyfunction("IF(D400,filter(Productos!AC:AC,Productos!A:A=B400),)"),"fabrica")</f>
        <v>fabrica</v>
      </c>
      <c r="I400" s="24" t="str">
        <f aca="false">IFERROR(__xludf.dummyfunction("""COMPUTED_VALUE"""),"")</f>
        <v/>
      </c>
      <c r="K400" s="0" t="e">
        <f aca="false">IF(D400,"{""sku"":"""&amp;B400&amp;""", ""costo"":"&amp;C400&amp;", ""grupo"":"""&amp;A400&amp;""", ""lote"":"&amp;D400&amp;", ""tiempo"":"&amp;E400&amp;", "&amp;F400&amp;", ""vencimiento"":"&amp;G400&amp;IF(I400,", ""precio"":"&amp;I400,)&amp;", ""tipo"":"""&amp;H400&amp;"""},",)</f>
        <v>#VALUE!</v>
      </c>
    </row>
    <row r="401" customFormat="false" ht="13" hidden="false" customHeight="false" outlineLevel="0" collapsed="false">
      <c r="A401" s="17" t="n">
        <v>6</v>
      </c>
      <c r="B401" s="0" t="n">
        <f aca="false">IFERROR(__xludf.dummyfunction("""COMPUTED_VALUE"""),1310)</f>
        <v>1310</v>
      </c>
      <c r="C401" s="24" t="n">
        <f aca="false">IFERROR(__xludf.dummyfunction("""COMPUTED_VALUE"""),10)</f>
        <v>10</v>
      </c>
      <c r="D401" s="0" t="n">
        <f aca="false">IFERROR(__xludf.dummyfunction("""COMPUTED_VALUE"""),12)</f>
        <v>12</v>
      </c>
      <c r="E401" s="0" t="n">
        <f aca="false">IFERROR(__xludf.dummyfunction("""COMPUTED_VALUE"""),10)</f>
        <v>10</v>
      </c>
      <c r="F401" s="0" t="str">
        <f aca="false">IFERROR(__xludf.dummyfunction("filter(Formulas!$C:$C,Formulas!$A:$A=B401)"),"""formula"":[{""sku"":""1010"",""req"":1}]")</f>
        <v>"formula":[{"sku":"1010","req":1}]</v>
      </c>
      <c r="G401" s="0" t="n">
        <f aca="false">IFERROR(__xludf.dummyfunction("""COMPUTED_VALUE"""),2)</f>
        <v>2</v>
      </c>
      <c r="H401" s="21" t="str">
        <f aca="false">IFERROR(__xludf.dummyfunction("IF(D401,filter(Productos!AC:AC,Productos!A:A=B401),)"),"fabrica")</f>
        <v>fabrica</v>
      </c>
      <c r="I401" s="24" t="str">
        <f aca="false">IFERROR(__xludf.dummyfunction("""COMPUTED_VALUE"""),"")</f>
        <v/>
      </c>
      <c r="K401" s="0" t="e">
        <f aca="false">IF(D401,"{""sku"":"""&amp;B401&amp;""", ""costo"":"&amp;C401&amp;", ""grupo"":"""&amp;A401&amp;""", ""lote"":"&amp;D401&amp;", ""tiempo"":"&amp;E401&amp;", "&amp;F401&amp;", ""vencimiento"":"&amp;G401&amp;IF(I401,", ""precio"":"&amp;I401,)&amp;", ""tipo"":"""&amp;H401&amp;"""},",)</f>
        <v>#VALUE!</v>
      </c>
    </row>
    <row r="402" customFormat="false" ht="13" hidden="false" customHeight="false" outlineLevel="0" collapsed="false">
      <c r="A402" s="16" t="n">
        <v>6</v>
      </c>
      <c r="B402" s="0" t="n">
        <f aca="false">IFERROR(__xludf.dummyfunction("""COMPUTED_VALUE"""),1407)</f>
        <v>1407</v>
      </c>
      <c r="C402" s="24" t="n">
        <f aca="false">IFERROR(__xludf.dummyfunction("""COMPUTED_VALUE"""),10)</f>
        <v>10</v>
      </c>
      <c r="D402" s="0" t="n">
        <f aca="false">IFERROR(__xludf.dummyfunction("""COMPUTED_VALUE"""),14)</f>
        <v>14</v>
      </c>
      <c r="E402" s="0" t="n">
        <f aca="false">IFERROR(__xludf.dummyfunction("""COMPUTED_VALUE"""),30)</f>
        <v>30</v>
      </c>
      <c r="F402" s="0" t="str">
        <f aca="false">IFERROR(__xludf.dummyfunction("filter(Formulas!$C:$C,Formulas!$A:$A=B402)"),"""formula"":[{""sku"":""1007"",""req"":1}]")</f>
        <v>"formula":[{"sku":"1007","req":1}]</v>
      </c>
      <c r="G402" s="0" t="n">
        <f aca="false">IFERROR(__xludf.dummyfunction("""COMPUTED_VALUE"""),2)</f>
        <v>2</v>
      </c>
      <c r="H402" s="21" t="str">
        <f aca="false">IFERROR(__xludf.dummyfunction("IF(D402,filter(Productos!AC:AC,Productos!A:A=B402),)"),"fabrica")</f>
        <v>fabrica</v>
      </c>
      <c r="I402" s="24" t="str">
        <f aca="false">IFERROR(__xludf.dummyfunction("""COMPUTED_VALUE"""),"")</f>
        <v/>
      </c>
      <c r="K402" s="0" t="e">
        <f aca="false">IF(D402,"{""sku"":"""&amp;B402&amp;""", ""costo"":"&amp;C402&amp;", ""grupo"":"""&amp;A402&amp;""", ""lote"":"&amp;D402&amp;", ""tiempo"":"&amp;E402&amp;", "&amp;F402&amp;", ""vencimiento"":"&amp;G402&amp;IF(I402,", ""precio"":"&amp;I402,)&amp;", ""tipo"":"""&amp;H402&amp;"""},",)</f>
        <v>#VALUE!</v>
      </c>
    </row>
    <row r="403" customFormat="false" ht="13" hidden="false" customHeight="false" outlineLevel="0" collapsed="false">
      <c r="A403" s="17" t="n">
        <v>6</v>
      </c>
      <c r="B403" s="0" t="n">
        <f aca="false">IFERROR(__xludf.dummyfunction("""COMPUTED_VALUE"""),10001)</f>
        <v>10001</v>
      </c>
      <c r="C403" s="24" t="n">
        <f aca="false">IFERROR(__xludf.dummyfunction("""COMPUTED_VALUE"""),10)</f>
        <v>10</v>
      </c>
      <c r="D403" s="0" t="n">
        <f aca="false">IFERROR(__xludf.dummyfunction("""COMPUTED_VALUE"""),1)</f>
        <v>1</v>
      </c>
      <c r="E403" s="0" t="n">
        <f aca="false">IFERROR(__xludf.dummyfunction("""COMPUTED_VALUE"""),10)</f>
        <v>10</v>
      </c>
      <c r="F403" s="0" t="str">
        <f aca="false">IFERROR(__xludf.dummyfunction("filter(Formulas!$C:$C,Formulas!$A:$A=B403)"),"""formula"":[{""sku"":""1201"",""req"":1},{""sku"":""1105"",""req"":1},{""sku"":""1210"",""req"":1},{""sku"":""1211"",""req"":1},{""sku"":""1116"",""req"":1}]")</f>
        <v>"formula":[{"sku":"1201","req":1},{"sku":"1105","req":1},{"sku":"1210","req":1},{"sku":"1211","req":1},{"sku":"1116","req":1}]</v>
      </c>
      <c r="G403" s="0" t="n">
        <f aca="false">IFERROR(__xludf.dummyfunction("""COMPUTED_VALUE"""),1)</f>
        <v>1</v>
      </c>
      <c r="H403" s="21" t="str">
        <f aca="false">IFERROR(__xludf.dummyfunction("IF(D403,filter(Productos!AC:AC,Productos!A:A=B403),)"),"cocina")</f>
        <v>cocina</v>
      </c>
      <c r="I403" s="24" t="n">
        <f aca="false">IFERROR(__xludf.dummyfunction("""COMPUTED_VALUE"""),4500)</f>
        <v>4500</v>
      </c>
      <c r="K403" s="0" t="str">
        <f aca="false">IF(D403,"{""sku"":"""&amp;B403&amp;""", ""costo"":"&amp;C403&amp;", ""grupo"":"""&amp;A403&amp;""", ""lote"":"&amp;D403&amp;", ""tiempo"":"&amp;E403&amp;", "&amp;F403&amp;", ""vencimiento"":"&amp;G403&amp;IF(I403,", ""precio"":"&amp;I403,)&amp;", ""tipo"":"""&amp;H403&amp;"""},",)</f>
        <v>{"sku":"10001", "costo":10, "grupo":"6", "lote":1, "tiempo":10, "formula":[{"sku":"1201","req":1},{"sku":"1105","req":1},{"sku":"1210","req":1},{"sku":"1211","req":1},{"sku":"1116","req":1}], "vencimiento":1, "precio":4500, "tipo":"cocina"},</v>
      </c>
    </row>
    <row r="404" customFormat="false" ht="13" hidden="false" customHeight="false" outlineLevel="0" collapsed="false">
      <c r="A404" s="16" t="n">
        <v>6</v>
      </c>
      <c r="B404" s="0" t="n">
        <f aca="false">IFERROR(__xludf.dummyfunction("""COMPUTED_VALUE"""),10002)</f>
        <v>10002</v>
      </c>
      <c r="C404" s="24" t="n">
        <f aca="false">IFERROR(__xludf.dummyfunction("""COMPUTED_VALUE"""),10)</f>
        <v>10</v>
      </c>
      <c r="D404" s="0" t="n">
        <f aca="false">IFERROR(__xludf.dummyfunction("""COMPUTED_VALUE"""),1)</f>
        <v>1</v>
      </c>
      <c r="E404" s="0" t="n">
        <f aca="false">IFERROR(__xludf.dummyfunction("""COMPUTED_VALUE"""),20)</f>
        <v>20</v>
      </c>
      <c r="F404" s="0" t="str">
        <f aca="false">IFERROR(__xludf.dummyfunction("filter(Formulas!$C:$C,Formulas!$A:$A=B404)"),"""formula"":[{""sku"":""1201"",""req"":1},{""sku"":""1105"",""req"":1},{""sku"":""1013"",""req"":5},{""sku"":""1210"",""req"":1},{""sku"":""1116"",""req"":1}]")</f>
        <v>"formula":[{"sku":"1201","req":1},{"sku":"1105","req":1},{"sku":"1013","req":5},{"sku":"1210","req":1},{"sku":"1116","req":1}]</v>
      </c>
      <c r="G404" s="0" t="n">
        <f aca="false">IFERROR(__xludf.dummyfunction("""COMPUTED_VALUE"""),1)</f>
        <v>1</v>
      </c>
      <c r="H404" s="21" t="str">
        <f aca="false">IFERROR(__xludf.dummyfunction("IF(D404,filter(Productos!AC:AC,Productos!A:A=B404),)"),"cocina")</f>
        <v>cocina</v>
      </c>
      <c r="I404" s="24" t="n">
        <f aca="false">IFERROR(__xludf.dummyfunction("""COMPUTED_VALUE"""),4500)</f>
        <v>4500</v>
      </c>
      <c r="K404" s="0" t="str">
        <f aca="false">IF(D404,"{""sku"":"""&amp;B404&amp;""", ""costo"":"&amp;C404&amp;", ""grupo"":"""&amp;A404&amp;""", ""lote"":"&amp;D404&amp;", ""tiempo"":"&amp;E404&amp;", "&amp;F404&amp;", ""vencimiento"":"&amp;G404&amp;IF(I404,", ""precio"":"&amp;I404,)&amp;", ""tipo"":"""&amp;H404&amp;"""},",)</f>
        <v>{"sku":"10002", "costo":10, "grupo":"6", "lote":1, "tiempo":20, "formula":[{"sku":"1201","req":1},{"sku":"1105","req":1},{"sku":"1013","req":5},{"sku":"1210","req":1},{"sku":"1116","req":1}], "vencimiento":1, "precio":4500, "tipo":"cocina"},</v>
      </c>
    </row>
    <row r="405" customFormat="false" ht="13" hidden="false" customHeight="false" outlineLevel="0" collapsed="false">
      <c r="A405" s="17" t="n">
        <v>6</v>
      </c>
      <c r="B405" s="0" t="n">
        <f aca="false">IFERROR(__xludf.dummyfunction("""COMPUTED_VALUE"""),10003)</f>
        <v>10003</v>
      </c>
      <c r="C405" s="24" t="n">
        <f aca="false">IFERROR(__xludf.dummyfunction("""COMPUTED_VALUE"""),10)</f>
        <v>10</v>
      </c>
      <c r="D405" s="0" t="n">
        <f aca="false">IFERROR(__xludf.dummyfunction("""COMPUTED_VALUE"""),1)</f>
        <v>1</v>
      </c>
      <c r="E405" s="0" t="n">
        <f aca="false">IFERROR(__xludf.dummyfunction("""COMPUTED_VALUE"""),30)</f>
        <v>30</v>
      </c>
      <c r="F405" s="0" t="str">
        <f aca="false">IFERROR(__xludf.dummyfunction("filter(Formulas!$C:$C,Formulas!$A:$A=B405)"),"""formula"":[{""sku"":""1201"",""req"":1},{""sku"":""1105"",""req"":1},{""sku"":""1013"",""req"":5},{""sku"":""1210"",""req"":1},{""sku"":""1211"",""req"":1},{""sku"":""1116"",""req"":1}]")</f>
        <v>"formula":[{"sku":"1201","req":1},{"sku":"1105","req":1},{"sku":"1013","req":5},{"sku":"1210","req":1},{"sku":"1211","req":1},{"sku":"1116","req":1}]</v>
      </c>
      <c r="G405" s="0" t="n">
        <f aca="false">IFERROR(__xludf.dummyfunction("""COMPUTED_VALUE"""),1)</f>
        <v>1</v>
      </c>
      <c r="H405" s="21" t="str">
        <f aca="false">IFERROR(__xludf.dummyfunction("IF(D405,filter(Productos!AC:AC,Productos!A:A=B405),)"),"cocina")</f>
        <v>cocina</v>
      </c>
      <c r="I405" s="24" t="n">
        <f aca="false">IFERROR(__xludf.dummyfunction("""COMPUTED_VALUE"""),4700)</f>
        <v>4700</v>
      </c>
      <c r="K405" s="0" t="str">
        <f aca="false">IF(D405,"{""sku"":"""&amp;B405&amp;""", ""costo"":"&amp;C405&amp;", ""grupo"":"""&amp;A405&amp;""", ""lote"":"&amp;D405&amp;", ""tiempo"":"&amp;E405&amp;", "&amp;F405&amp;", ""vencimiento"":"&amp;G405&amp;IF(I405,", ""precio"":"&amp;I405,)&amp;", ""tipo"":"""&amp;H405&amp;"""},",)</f>
        <v>{"sku":"10003", "costo":10, "grupo":"6", "lote":1, "tiempo":30, "formula":[{"sku":"1201","req":1},{"sku":"1105","req":1},{"sku":"1013","req":5},{"sku":"1210","req":1},{"sku":"1211","req":1},{"sku":"1116","req":1}], "vencimiento":1, "precio":4700, "tipo":"cocina"},</v>
      </c>
    </row>
    <row r="406" customFormat="false" ht="13" hidden="false" customHeight="false" outlineLevel="0" collapsed="false">
      <c r="A406" s="16" t="n">
        <v>6</v>
      </c>
      <c r="B406" s="0" t="n">
        <f aca="false">IFERROR(__xludf.dummyfunction("""COMPUTED_VALUE"""),10004)</f>
        <v>10004</v>
      </c>
      <c r="C406" s="24" t="n">
        <f aca="false">IFERROR(__xludf.dummyfunction("""COMPUTED_VALUE"""),10)</f>
        <v>10</v>
      </c>
      <c r="D406" s="0" t="n">
        <f aca="false">IFERROR(__xludf.dummyfunction("""COMPUTED_VALUE"""),1)</f>
        <v>1</v>
      </c>
      <c r="E406" s="0" t="n">
        <f aca="false">IFERROR(__xludf.dummyfunction("""COMPUTED_VALUE"""),10)</f>
        <v>10</v>
      </c>
      <c r="F406" s="0" t="str">
        <f aca="false">IFERROR(__xludf.dummyfunction("filter(Formulas!$C:$C,Formulas!$A:$A=B406)"),"""formula"":[{""sku"":""1201"",""req"":1},{""sku"":""1106"",""req"":4},{""sku"":""1210"",""req"":1},{""sku"":""1211"",""req"":1},{""sku"":""1116"",""req"":1}]")</f>
        <v>"formula":[{"sku":"1201","req":1},{"sku":"1106","req":4},{"sku":"1210","req":1},{"sku":"1211","req":1},{"sku":"1116","req":1}]</v>
      </c>
      <c r="G406" s="0" t="n">
        <f aca="false">IFERROR(__xludf.dummyfunction("""COMPUTED_VALUE"""),1)</f>
        <v>1</v>
      </c>
      <c r="H406" s="21" t="str">
        <f aca="false">IFERROR(__xludf.dummyfunction("IF(D406,filter(Productos!AC:AC,Productos!A:A=B406),)"),"cocina")</f>
        <v>cocina</v>
      </c>
      <c r="I406" s="24" t="n">
        <f aca="false">IFERROR(__xludf.dummyfunction("""COMPUTED_VALUE"""),4700)</f>
        <v>4700</v>
      </c>
      <c r="K406" s="0" t="str">
        <f aca="false">IF(D406,"{""sku"":"""&amp;B406&amp;""", ""costo"":"&amp;C406&amp;", ""grupo"":"""&amp;A406&amp;""", ""lote"":"&amp;D406&amp;", ""tiempo"":"&amp;E406&amp;", "&amp;F406&amp;", ""vencimiento"":"&amp;G406&amp;IF(I406,", ""precio"":"&amp;I406,)&amp;", ""tipo"":"""&amp;H406&amp;"""},",)</f>
        <v>{"sku":"10004", "costo":10, "grupo":"6", "lote":1, "tiempo":10, "formula":[{"sku":"1201","req":1},{"sku":"1106","req":4},{"sku":"1210","req":1},{"sku":"1211","req":1},{"sku":"1116","req":1}], "vencimiento":1, "precio":4700, "tipo":"cocina"},</v>
      </c>
    </row>
    <row r="407" customFormat="false" ht="13" hidden="false" customHeight="false" outlineLevel="0" collapsed="false">
      <c r="A407" s="17" t="n">
        <v>6</v>
      </c>
      <c r="B407" s="0" t="n">
        <f aca="false">IFERROR(__xludf.dummyfunction("""COMPUTED_VALUE"""),10005)</f>
        <v>10005</v>
      </c>
      <c r="C407" s="24" t="n">
        <f aca="false">IFERROR(__xludf.dummyfunction("""COMPUTED_VALUE"""),10)</f>
        <v>10</v>
      </c>
      <c r="D407" s="0" t="n">
        <f aca="false">IFERROR(__xludf.dummyfunction("""COMPUTED_VALUE"""),1)</f>
        <v>1</v>
      </c>
      <c r="E407" s="0" t="n">
        <f aca="false">IFERROR(__xludf.dummyfunction("""COMPUTED_VALUE"""),20)</f>
        <v>20</v>
      </c>
      <c r="F407" s="0" t="str">
        <f aca="false">IFERROR(__xludf.dummyfunction("filter(Formulas!$C:$C,Formulas!$A:$A=B407)"),"""formula"":[{""sku"":""1201"",""req"":1},{""sku"":""1106"",""req"":4},{""sku"":""1013"",""req"":5},{""sku"":""1210"",""req"":1},{""sku"":""1116"",""req"":1}]")</f>
        <v>"formula":[{"sku":"1201","req":1},{"sku":"1106","req":4},{"sku":"1013","req":5},{"sku":"1210","req":1},{"sku":"1116","req":1}]</v>
      </c>
      <c r="G407" s="0" t="n">
        <f aca="false">IFERROR(__xludf.dummyfunction("""COMPUTED_VALUE"""),1)</f>
        <v>1</v>
      </c>
      <c r="H407" s="21" t="str">
        <f aca="false">IFERROR(__xludf.dummyfunction("IF(D407,filter(Productos!AC:AC,Productos!A:A=B407),)"),"cocina")</f>
        <v>cocina</v>
      </c>
      <c r="I407" s="24" t="n">
        <f aca="false">IFERROR(__xludf.dummyfunction("""COMPUTED_VALUE"""),4700)</f>
        <v>4700</v>
      </c>
      <c r="K407" s="0" t="str">
        <f aca="false">IF(D407,"{""sku"":"""&amp;B407&amp;""", ""costo"":"&amp;C407&amp;", ""grupo"":"""&amp;A407&amp;""", ""lote"":"&amp;D407&amp;", ""tiempo"":"&amp;E407&amp;", "&amp;F407&amp;", ""vencimiento"":"&amp;G407&amp;IF(I407,", ""precio"":"&amp;I407,)&amp;", ""tipo"":"""&amp;H407&amp;"""},",)</f>
        <v>{"sku":"10005", "costo":10, "grupo":"6", "lote":1, "tiempo":20, "formula":[{"sku":"1201","req":1},{"sku":"1106","req":4},{"sku":"1013","req":5},{"sku":"1210","req":1},{"sku":"1116","req":1}], "vencimiento":1, "precio":4700, "tipo":"cocina"},</v>
      </c>
    </row>
    <row r="408" customFormat="false" ht="13" hidden="false" customHeight="false" outlineLevel="0" collapsed="false">
      <c r="A408" s="16" t="n">
        <v>6</v>
      </c>
      <c r="B408" s="0" t="n">
        <f aca="false">IFERROR(__xludf.dummyfunction("""COMPUTED_VALUE"""),10006)</f>
        <v>10006</v>
      </c>
      <c r="C408" s="24" t="n">
        <f aca="false">IFERROR(__xludf.dummyfunction("""COMPUTED_VALUE"""),10)</f>
        <v>10</v>
      </c>
      <c r="D408" s="0" t="n">
        <f aca="false">IFERROR(__xludf.dummyfunction("""COMPUTED_VALUE"""),1)</f>
        <v>1</v>
      </c>
      <c r="E408" s="0" t="n">
        <f aca="false">IFERROR(__xludf.dummyfunction("""COMPUTED_VALUE"""),10)</f>
        <v>10</v>
      </c>
      <c r="F408" s="0" t="str">
        <f aca="false">IFERROR(__xludf.dummyfunction("filter(Formulas!$C:$C,Formulas!$A:$A=B408)"),"""formula"":[{""sku"":""1201"",""req"":1},{""sku"":""1210"",""req"":1},{""sku"":""1107"",""req"":1},{""sku"":""1211"",""req"":1},{""sku"":""1116"",""req"":1}]")</f>
        <v>"formula":[{"sku":"1201","req":1},{"sku":"1210","req":1},{"sku":"1107","req":1},{"sku":"1211","req":1},{"sku":"1116","req":1}]</v>
      </c>
      <c r="G408" s="0" t="n">
        <f aca="false">IFERROR(__xludf.dummyfunction("""COMPUTED_VALUE"""),1)</f>
        <v>1</v>
      </c>
      <c r="H408" s="21" t="str">
        <f aca="false">IFERROR(__xludf.dummyfunction("IF(D408,filter(Productos!AC:AC,Productos!A:A=B408),)"),"cocina")</f>
        <v>cocina</v>
      </c>
      <c r="I408" s="24" t="n">
        <f aca="false">IFERROR(__xludf.dummyfunction("""COMPUTED_VALUE"""),4900)</f>
        <v>4900</v>
      </c>
      <c r="K408" s="0" t="str">
        <f aca="false">IF(D408,"{""sku"":"""&amp;B408&amp;""", ""costo"":"&amp;C408&amp;", ""grupo"":"""&amp;A408&amp;""", ""lote"":"&amp;D408&amp;", ""tiempo"":"&amp;E408&amp;", "&amp;F408&amp;", ""vencimiento"":"&amp;G408&amp;IF(I408,", ""precio"":"&amp;I408,)&amp;", ""tipo"":"""&amp;H408&amp;"""},",)</f>
        <v>{"sku":"10006", "costo":10, "grupo":"6", "lote":1, "tiempo":10, "formula":[{"sku":"1201","req":1},{"sku":"1210","req":1},{"sku":"1107","req":1},{"sku":"1211","req":1},{"sku":"1116","req":1}], "vencimiento":1, "precio":4900, "tipo":"cocina"},</v>
      </c>
    </row>
    <row r="409" customFormat="false" ht="13" hidden="false" customHeight="false" outlineLevel="0" collapsed="false">
      <c r="A409" s="17" t="n">
        <v>6</v>
      </c>
      <c r="B409" s="0" t="n">
        <f aca="false">IFERROR(__xludf.dummyfunction("""COMPUTED_VALUE"""),10007)</f>
        <v>10007</v>
      </c>
      <c r="C409" s="24" t="n">
        <f aca="false">IFERROR(__xludf.dummyfunction("""COMPUTED_VALUE"""),10)</f>
        <v>10</v>
      </c>
      <c r="D409" s="0" t="n">
        <f aca="false">IFERROR(__xludf.dummyfunction("""COMPUTED_VALUE"""),1)</f>
        <v>1</v>
      </c>
      <c r="E409" s="0" t="n">
        <f aca="false">IFERROR(__xludf.dummyfunction("""COMPUTED_VALUE"""),20)</f>
        <v>20</v>
      </c>
      <c r="F409" s="0" t="str">
        <f aca="false">IFERROR(__xludf.dummyfunction("filter(Formulas!$C:$C,Formulas!$A:$A=B409)"),"""formula"":[{""sku"":""1201"",""req"":1},{""sku"":""1013"",""req"":5},{""sku"":""1210"",""req"":1},{""sku"":""1107"",""req"":1},{""sku"":""1116"",""req"":1}]")</f>
        <v>"formula":[{"sku":"1201","req":1},{"sku":"1013","req":5},{"sku":"1210","req":1},{"sku":"1107","req":1},{"sku":"1116","req":1}]</v>
      </c>
      <c r="G409" s="0" t="n">
        <f aca="false">IFERROR(__xludf.dummyfunction("""COMPUTED_VALUE"""),1)</f>
        <v>1</v>
      </c>
      <c r="H409" s="21" t="str">
        <f aca="false">IFERROR(__xludf.dummyfunction("IF(D409,filter(Productos!AC:AC,Productos!A:A=B409),)"),"cocina")</f>
        <v>cocina</v>
      </c>
      <c r="I409" s="24" t="n">
        <f aca="false">IFERROR(__xludf.dummyfunction("""COMPUTED_VALUE"""),4900)</f>
        <v>4900</v>
      </c>
      <c r="K409" s="0" t="str">
        <f aca="false">IF(D409,"{""sku"":"""&amp;B409&amp;""", ""costo"":"&amp;C409&amp;", ""grupo"":"""&amp;A409&amp;""", ""lote"":"&amp;D409&amp;", ""tiempo"":"&amp;E409&amp;", "&amp;F409&amp;", ""vencimiento"":"&amp;G409&amp;IF(I409,", ""precio"":"&amp;I409,)&amp;", ""tipo"":"""&amp;H409&amp;"""},",)</f>
        <v>{"sku":"10007", "costo":10, "grupo":"6", "lote":1, "tiempo":20, "formula":[{"sku":"1201","req":1},{"sku":"1013","req":5},{"sku":"1210","req":1},{"sku":"1107","req":1},{"sku":"1116","req":1}], "vencimiento":1, "precio":4900, "tipo":"cocina"},</v>
      </c>
    </row>
    <row r="410" customFormat="false" ht="13" hidden="false" customHeight="false" outlineLevel="0" collapsed="false">
      <c r="A410" s="16" t="n">
        <v>6</v>
      </c>
      <c r="B410" s="0" t="n">
        <f aca="false">IFERROR(__xludf.dummyfunction("""COMPUTED_VALUE"""),10008)</f>
        <v>10008</v>
      </c>
      <c r="C410" s="24" t="n">
        <f aca="false">IFERROR(__xludf.dummyfunction("""COMPUTED_VALUE"""),10)</f>
        <v>10</v>
      </c>
      <c r="D410" s="0" t="n">
        <f aca="false">IFERROR(__xludf.dummyfunction("""COMPUTED_VALUE"""),1)</f>
        <v>1</v>
      </c>
      <c r="E410" s="0" t="n">
        <f aca="false">IFERROR(__xludf.dummyfunction("""COMPUTED_VALUE"""),20)</f>
        <v>20</v>
      </c>
      <c r="F410" s="0" t="str">
        <f aca="false">IFERROR(__xludf.dummyfunction("filter(Formulas!$C:$C,Formulas!$A:$A=B410)"),"""formula"":[{""sku"":""1201"",""req"":1},{""sku"":""1109"",""req"":1},{""sku"":""1210"",""req"":1},{""sku"":""1211"",""req"":1},{""sku"":""1116"",""req"":1}]")</f>
        <v>"formula":[{"sku":"1201","req":1},{"sku":"1109","req":1},{"sku":"1210","req":1},{"sku":"1211","req":1},{"sku":"1116","req":1}]</v>
      </c>
      <c r="G410" s="0" t="n">
        <f aca="false">IFERROR(__xludf.dummyfunction("""COMPUTED_VALUE"""),1)</f>
        <v>1</v>
      </c>
      <c r="H410" s="21" t="str">
        <f aca="false">IFERROR(__xludf.dummyfunction("IF(D410,filter(Productos!AC:AC,Productos!A:A=B410),)"),"cocina")</f>
        <v>cocina</v>
      </c>
      <c r="I410" s="24" t="n">
        <f aca="false">IFERROR(__xludf.dummyfunction("""COMPUTED_VALUE"""),4900)</f>
        <v>4900</v>
      </c>
      <c r="K410" s="0" t="str">
        <f aca="false">IF(D410,"{""sku"":"""&amp;B410&amp;""", ""costo"":"&amp;C410&amp;", ""grupo"":"""&amp;A410&amp;""", ""lote"":"&amp;D410&amp;", ""tiempo"":"&amp;E410&amp;", "&amp;F410&amp;", ""vencimiento"":"&amp;G410&amp;IF(I410,", ""precio"":"&amp;I410,)&amp;", ""tipo"":"""&amp;H410&amp;"""},",)</f>
        <v>{"sku":"10008", "costo":10, "grupo":"6", "lote":1, "tiempo":20, "formula":[{"sku":"1201","req":1},{"sku":"1109","req":1},{"sku":"1210","req":1},{"sku":"1211","req":1},{"sku":"1116","req":1}], "vencimiento":1, "precio":4900, "tipo":"cocina"},</v>
      </c>
    </row>
    <row r="411" customFormat="false" ht="13" hidden="false" customHeight="false" outlineLevel="0" collapsed="false">
      <c r="A411" s="17" t="n">
        <v>6</v>
      </c>
      <c r="B411" s="0" t="n">
        <f aca="false">IFERROR(__xludf.dummyfunction("""COMPUTED_VALUE"""),10009)</f>
        <v>10009</v>
      </c>
      <c r="C411" s="24" t="n">
        <f aca="false">IFERROR(__xludf.dummyfunction("""COMPUTED_VALUE"""),10)</f>
        <v>10</v>
      </c>
      <c r="D411" s="0" t="n">
        <f aca="false">IFERROR(__xludf.dummyfunction("""COMPUTED_VALUE"""),1)</f>
        <v>1</v>
      </c>
      <c r="E411" s="0" t="n">
        <f aca="false">IFERROR(__xludf.dummyfunction("""COMPUTED_VALUE"""),30)</f>
        <v>30</v>
      </c>
      <c r="F411" s="0" t="str">
        <f aca="false">IFERROR(__xludf.dummyfunction("filter(Formulas!$C:$C,Formulas!$A:$A=B411)"),"""formula"":[{""sku"":""1201"",""req"":1},{""sku"":""1109"",""req"":1},{""sku"":""1013"",""req"":5},{""sku"":""1210"",""req"":1},{""sku"":""1116"",""req"":1}]")</f>
        <v>"formula":[{"sku":"1201","req":1},{"sku":"1109","req":1},{"sku":"1013","req":5},{"sku":"1210","req":1},{"sku":"1116","req":1}]</v>
      </c>
      <c r="G411" s="0" t="n">
        <f aca="false">IFERROR(__xludf.dummyfunction("""COMPUTED_VALUE"""),1)</f>
        <v>1</v>
      </c>
      <c r="H411" s="21" t="str">
        <f aca="false">IFERROR(__xludf.dummyfunction("IF(D411,filter(Productos!AC:AC,Productos!A:A=B411),)"),"cocina")</f>
        <v>cocina</v>
      </c>
      <c r="I411" s="24" t="n">
        <f aca="false">IFERROR(__xludf.dummyfunction("""COMPUTED_VALUE"""),4900)</f>
        <v>4900</v>
      </c>
      <c r="K411" s="0" t="str">
        <f aca="false">IF(D411,"{""sku"":"""&amp;B411&amp;""", ""costo"":"&amp;C411&amp;", ""grupo"":"""&amp;A411&amp;""", ""lote"":"&amp;D411&amp;", ""tiempo"":"&amp;E411&amp;", "&amp;F411&amp;", ""vencimiento"":"&amp;G411&amp;IF(I411,", ""precio"":"&amp;I411,)&amp;", ""tipo"":"""&amp;H411&amp;"""},",)</f>
        <v>{"sku":"10009", "costo":10, "grupo":"6", "lote":1, "tiempo":30, "formula":[{"sku":"1201","req":1},{"sku":"1109","req":1},{"sku":"1013","req":5},{"sku":"1210","req":1},{"sku":"1116","req":1}], "vencimiento":1, "precio":4900, "tipo":"cocina"},</v>
      </c>
    </row>
    <row r="412" customFormat="false" ht="13" hidden="false" customHeight="false" outlineLevel="0" collapsed="false">
      <c r="A412" s="16" t="n">
        <v>6</v>
      </c>
      <c r="B412" s="0" t="n">
        <f aca="false">IFERROR(__xludf.dummyfunction("""COMPUTED_VALUE"""),10010)</f>
        <v>10010</v>
      </c>
      <c r="C412" s="24" t="n">
        <f aca="false">IFERROR(__xludf.dummyfunction("""COMPUTED_VALUE"""),10)</f>
        <v>10</v>
      </c>
      <c r="D412" s="0" t="n">
        <f aca="false">IFERROR(__xludf.dummyfunction("""COMPUTED_VALUE"""),1)</f>
        <v>1</v>
      </c>
      <c r="E412" s="0" t="n">
        <f aca="false">IFERROR(__xludf.dummyfunction("""COMPUTED_VALUE"""),10)</f>
        <v>10</v>
      </c>
      <c r="F412" s="0" t="str">
        <f aca="false">IFERROR(__xludf.dummyfunction("filter(Formulas!$C:$C,Formulas!$A:$A=B412)"),"""formula"":[{""sku"":""1201"",""req"":1},{""sku"":""1106"",""req"":4},{""sku"":""1210"",""req"":1},{""sku"":""1110"",""req"":1},{""sku"":""1116"",""req"":1}]")</f>
        <v>"formula":[{"sku":"1201","req":1},{"sku":"1106","req":4},{"sku":"1210","req":1},{"sku":"1110","req":1},{"sku":"1116","req":1}]</v>
      </c>
      <c r="G412" s="0" t="n">
        <f aca="false">IFERROR(__xludf.dummyfunction("""COMPUTED_VALUE"""),1)</f>
        <v>1</v>
      </c>
      <c r="H412" s="21" t="str">
        <f aca="false">IFERROR(__xludf.dummyfunction("IF(D412,filter(Productos!AC:AC,Productos!A:A=B412),)"),"cocina")</f>
        <v>cocina</v>
      </c>
      <c r="I412" s="24" t="n">
        <f aca="false">IFERROR(__xludf.dummyfunction("""COMPUTED_VALUE"""),4900)</f>
        <v>4900</v>
      </c>
      <c r="K412" s="0" t="str">
        <f aca="false">IF(D412,"{""sku"":"""&amp;B412&amp;""", ""costo"":"&amp;C412&amp;", ""grupo"":"""&amp;A412&amp;""", ""lote"":"&amp;D412&amp;", ""tiempo"":"&amp;E412&amp;", "&amp;F412&amp;", ""vencimiento"":"&amp;G412&amp;IF(I412,", ""precio"":"&amp;I412,)&amp;", ""tipo"":"""&amp;H412&amp;"""},",)</f>
        <v>{"sku":"10010", "costo":10, "grupo":"6", "lote":1, "tiempo":10, "formula":[{"sku":"1201","req":1},{"sku":"1106","req":4},{"sku":"1210","req":1},{"sku":"1110","req":1},{"sku":"1116","req":1}], "vencimiento":1, "precio":4900, "tipo":"cocina"},</v>
      </c>
    </row>
    <row r="413" customFormat="false" ht="13" hidden="false" customHeight="false" outlineLevel="0" collapsed="false">
      <c r="A413" s="17" t="n">
        <v>6</v>
      </c>
      <c r="B413" s="0" t="n">
        <f aca="false">IFERROR(__xludf.dummyfunction("""COMPUTED_VALUE"""),10011)</f>
        <v>10011</v>
      </c>
      <c r="C413" s="24" t="n">
        <f aca="false">IFERROR(__xludf.dummyfunction("""COMPUTED_VALUE"""),10)</f>
        <v>10</v>
      </c>
      <c r="D413" s="0" t="n">
        <f aca="false">IFERROR(__xludf.dummyfunction("""COMPUTED_VALUE"""),1)</f>
        <v>1</v>
      </c>
      <c r="E413" s="0" t="n">
        <f aca="false">IFERROR(__xludf.dummyfunction("""COMPUTED_VALUE"""),20)</f>
        <v>20</v>
      </c>
      <c r="F413" s="0" t="str">
        <f aca="false">IFERROR(__xludf.dummyfunction("filter(Formulas!$C:$C,Formulas!$A:$A=B413)"),"""formula"":[{""sku"":""1201"",""req"":1},{""sku"":""1106"",""req"":4},{""sku"":""1114"",""req"":1},{""sku"":""1110"",""req"":1},{""sku"":""1112"",""req"":1},{""sku"":""1116"",""req"":1}]")</f>
        <v>"formula":[{"sku":"1201","req":1},{"sku":"1106","req":4},{"sku":"1114","req":1},{"sku":"1110","req":1},{"sku":"1112","req":1},{"sku":"1116","req":1}]</v>
      </c>
      <c r="G413" s="0" t="n">
        <f aca="false">IFERROR(__xludf.dummyfunction("""COMPUTED_VALUE"""),1)</f>
        <v>1</v>
      </c>
      <c r="H413" s="21" t="str">
        <f aca="false">IFERROR(__xludf.dummyfunction("IF(D413,filter(Productos!AC:AC,Productos!A:A=B413),)"),"cocina")</f>
        <v>cocina</v>
      </c>
      <c r="I413" s="24" t="n">
        <f aca="false">IFERROR(__xludf.dummyfunction("""COMPUTED_VALUE"""),5700)</f>
        <v>5700</v>
      </c>
      <c r="K413" s="0" t="str">
        <f aca="false">IF(D413,"{""sku"":"""&amp;B413&amp;""", ""costo"":"&amp;C413&amp;", ""grupo"":"""&amp;A413&amp;""", ""lote"":"&amp;D413&amp;", ""tiempo"":"&amp;E413&amp;", "&amp;F413&amp;", ""vencimiento"":"&amp;G413&amp;IF(I413,", ""precio"":"&amp;I413,)&amp;", ""tipo"":"""&amp;H413&amp;"""},",)</f>
        <v>{"sku":"10011", "costo":10, "grupo":"6", "lote":1, "tiempo":20, "formula":[{"sku":"1201","req":1},{"sku":"1106","req":4},{"sku":"1114","req":1},{"sku":"1110","req":1},{"sku":"1112","req":1},{"sku":"1116","req":1}], "vencimiento":1, "precio":5700, "tipo":"cocina"},</v>
      </c>
    </row>
    <row r="414" customFormat="false" ht="13" hidden="false" customHeight="false" outlineLevel="0" collapsed="false">
      <c r="A414" s="16" t="n">
        <v>6</v>
      </c>
      <c r="B414" s="0" t="n">
        <f aca="false">IFERROR(__xludf.dummyfunction("""COMPUTED_VALUE"""),10012)</f>
        <v>10012</v>
      </c>
      <c r="C414" s="24" t="n">
        <f aca="false">IFERROR(__xludf.dummyfunction("""COMPUTED_VALUE"""),10)</f>
        <v>10</v>
      </c>
      <c r="D414" s="0" t="n">
        <f aca="false">IFERROR(__xludf.dummyfunction("""COMPUTED_VALUE"""),1)</f>
        <v>1</v>
      </c>
      <c r="E414" s="0" t="n">
        <f aca="false">IFERROR(__xludf.dummyfunction("""COMPUTED_VALUE"""),20)</f>
        <v>20</v>
      </c>
      <c r="F414" s="0" t="str">
        <f aca="false">IFERROR(__xludf.dummyfunction("filter(Formulas!$C:$C,Formulas!$A:$A=B414)"),"""formula"":[{""sku"":""1201"",""req"":1},{""sku"":""1106"",""req"":4},{""sku"":""1110"",""req"":1},{""sku"":""1112"",""req"":1},{""sku"":""1108"",""req"":1},{""sku"":""1116"",""req"":1}]")</f>
        <v>"formula":[{"sku":"1201","req":1},{"sku":"1106","req":4},{"sku":"1110","req":1},{"sku":"1112","req":1},{"sku":"1108","req":1},{"sku":"1116","req":1}]</v>
      </c>
      <c r="G414" s="0" t="n">
        <f aca="false">IFERROR(__xludf.dummyfunction("""COMPUTED_VALUE"""),1)</f>
        <v>1</v>
      </c>
      <c r="H414" s="21" t="str">
        <f aca="false">IFERROR(__xludf.dummyfunction("IF(D414,filter(Productos!AC:AC,Productos!A:A=B414),)"),"cocina")</f>
        <v>cocina</v>
      </c>
      <c r="I414" s="24" t="n">
        <f aca="false">IFERROR(__xludf.dummyfunction("""COMPUTED_VALUE"""),5700)</f>
        <v>5700</v>
      </c>
      <c r="K414" s="0" t="str">
        <f aca="false">IF(D414,"{""sku"":"""&amp;B414&amp;""", ""costo"":"&amp;C414&amp;", ""grupo"":"""&amp;A414&amp;""", ""lote"":"&amp;D414&amp;", ""tiempo"":"&amp;E414&amp;", "&amp;F414&amp;", ""vencimiento"":"&amp;G414&amp;IF(I414,", ""precio"":"&amp;I414,)&amp;", ""tipo"":"""&amp;H414&amp;"""},",)</f>
        <v>{"sku":"10012", "costo":10, "grupo":"6", "lote":1, "tiempo":20, "formula":[{"sku":"1201","req":1},{"sku":"1106","req":4},{"sku":"1110","req":1},{"sku":"1112","req":1},{"sku":"1108","req":1},{"sku":"1116","req":1}], "vencimiento":1, "precio":5700, "tipo":"cocina"},</v>
      </c>
    </row>
    <row r="415" customFormat="false" ht="13" hidden="false" customHeight="false" outlineLevel="0" collapsed="false">
      <c r="A415" s="17" t="n">
        <v>6</v>
      </c>
      <c r="B415" s="0" t="n">
        <f aca="false">IFERROR(__xludf.dummyfunction("""COMPUTED_VALUE"""),10013)</f>
        <v>10013</v>
      </c>
      <c r="C415" s="24" t="n">
        <f aca="false">IFERROR(__xludf.dummyfunction("""COMPUTED_VALUE"""),10)</f>
        <v>10</v>
      </c>
      <c r="D415" s="0" t="n">
        <f aca="false">IFERROR(__xludf.dummyfunction("""COMPUTED_VALUE"""),1)</f>
        <v>1</v>
      </c>
      <c r="E415" s="0" t="n">
        <f aca="false">IFERROR(__xludf.dummyfunction("""COMPUTED_VALUE"""),10)</f>
        <v>10</v>
      </c>
      <c r="F415" s="0" t="str">
        <f aca="false">IFERROR(__xludf.dummyfunction("filter(Formulas!$C:$C,Formulas!$A:$A=B415)"),"""formula"":[{""sku"":""1201"",""req"":1},{""sku"":""1106"",""req"":4},{""sku"":""1110"",""req"":1},{""sku"":""1112"",""req"":1},{""sku"":""1116"",""req"":1}]")</f>
        <v>"formula":[{"sku":"1201","req":1},{"sku":"1106","req":4},{"sku":"1110","req":1},{"sku":"1112","req":1},{"sku":"1116","req":1}]</v>
      </c>
      <c r="G415" s="0" t="n">
        <f aca="false">IFERROR(__xludf.dummyfunction("""COMPUTED_VALUE"""),1)</f>
        <v>1</v>
      </c>
      <c r="H415" s="21" t="str">
        <f aca="false">IFERROR(__xludf.dummyfunction("IF(D415,filter(Productos!AC:AC,Productos!A:A=B415),)"),"cocina")</f>
        <v>cocina</v>
      </c>
      <c r="I415" s="24" t="n">
        <f aca="false">IFERROR(__xludf.dummyfunction("""COMPUTED_VALUE"""),5700)</f>
        <v>5700</v>
      </c>
      <c r="K415" s="0" t="str">
        <f aca="false">IF(D415,"{""sku"":"""&amp;B415&amp;""", ""costo"":"&amp;C415&amp;", ""grupo"":"""&amp;A415&amp;""", ""lote"":"&amp;D415&amp;", ""tiempo"":"&amp;E415&amp;", "&amp;F415&amp;", ""vencimiento"":"&amp;G415&amp;IF(I415,", ""precio"":"&amp;I415,)&amp;", ""tipo"":"""&amp;H415&amp;"""},",)</f>
        <v>{"sku":"10013", "costo":10, "grupo":"6", "lote":1, "tiempo":10, "formula":[{"sku":"1201","req":1},{"sku":"1106","req":4},{"sku":"1110","req":1},{"sku":"1112","req":1},{"sku":"1116","req":1}], "vencimiento":1, "precio":5700, "tipo":"cocina"},</v>
      </c>
    </row>
    <row r="416" customFormat="false" ht="13" hidden="false" customHeight="false" outlineLevel="0" collapsed="false">
      <c r="A416" s="16" t="n">
        <v>6</v>
      </c>
      <c r="B416" s="0" t="n">
        <f aca="false">IFERROR(__xludf.dummyfunction("""COMPUTED_VALUE"""),10014)</f>
        <v>10014</v>
      </c>
      <c r="C416" s="24" t="n">
        <f aca="false">IFERROR(__xludf.dummyfunction("""COMPUTED_VALUE"""),10)</f>
        <v>10</v>
      </c>
      <c r="D416" s="0" t="n">
        <f aca="false">IFERROR(__xludf.dummyfunction("""COMPUTED_VALUE"""),1)</f>
        <v>1</v>
      </c>
      <c r="E416" s="0" t="n">
        <f aca="false">IFERROR(__xludf.dummyfunction("""COMPUTED_VALUE"""),10)</f>
        <v>10</v>
      </c>
      <c r="F416" s="0" t="str">
        <f aca="false">IFERROR(__xludf.dummyfunction("filter(Formulas!$C:$C,Formulas!$A:$A=B416)"),"""formula"":[{""sku"":""1201"",""req"":1},{""sku"":""1105"",""req"":1},{""sku"":""1110"",""req"":1},{""sku"":""1112"",""req"":1},{""sku"":""1116"",""req"":1}]")</f>
        <v>"formula":[{"sku":"1201","req":1},{"sku":"1105","req":1},{"sku":"1110","req":1},{"sku":"1112","req":1},{"sku":"1116","req":1}]</v>
      </c>
      <c r="G416" s="0" t="n">
        <f aca="false">IFERROR(__xludf.dummyfunction("""COMPUTED_VALUE"""),1)</f>
        <v>1</v>
      </c>
      <c r="H416" s="21" t="str">
        <f aca="false">IFERROR(__xludf.dummyfunction("IF(D416,filter(Productos!AC:AC,Productos!A:A=B416),)"),"cocina")</f>
        <v>cocina</v>
      </c>
      <c r="I416" s="24" t="n">
        <f aca="false">IFERROR(__xludf.dummyfunction("""COMPUTED_VALUE"""),4900)</f>
        <v>4900</v>
      </c>
      <c r="K416" s="0" t="str">
        <f aca="false">IF(D416,"{""sku"":"""&amp;B416&amp;""", ""costo"":"&amp;C416&amp;", ""grupo"":"""&amp;A416&amp;""", ""lote"":"&amp;D416&amp;", ""tiempo"":"&amp;E416&amp;", "&amp;F416&amp;", ""vencimiento"":"&amp;G416&amp;IF(I416,", ""precio"":"&amp;I416,)&amp;", ""tipo"":"""&amp;H416&amp;"""},",)</f>
        <v>{"sku":"10014", "costo":10, "grupo":"6", "lote":1, "tiempo":10, "formula":[{"sku":"1201","req":1},{"sku":"1105","req":1},{"sku":"1110","req":1},{"sku":"1112","req":1},{"sku":"1116","req":1}], "vencimiento":1, "precio":4900, "tipo":"cocina"},</v>
      </c>
    </row>
    <row r="417" customFormat="false" ht="13" hidden="false" customHeight="false" outlineLevel="0" collapsed="false">
      <c r="A417" s="17" t="n">
        <v>6</v>
      </c>
      <c r="B417" s="0" t="n">
        <f aca="false">IFERROR(__xludf.dummyfunction("""COMPUTED_VALUE"""),10015)</f>
        <v>10015</v>
      </c>
      <c r="C417" s="24" t="n">
        <f aca="false">IFERROR(__xludf.dummyfunction("""COMPUTED_VALUE"""),10)</f>
        <v>10</v>
      </c>
      <c r="D417" s="0" t="n">
        <f aca="false">IFERROR(__xludf.dummyfunction("""COMPUTED_VALUE"""),1)</f>
        <v>1</v>
      </c>
      <c r="E417" s="0" t="n">
        <f aca="false">IFERROR(__xludf.dummyfunction("""COMPUTED_VALUE"""),20)</f>
        <v>20</v>
      </c>
      <c r="F417" s="0" t="str">
        <f aca="false">IFERROR(__xludf.dummyfunction("filter(Formulas!$C:$C,Formulas!$A:$A=B417)"),"""formula"":[{""sku"":""1201"",""req"":1},{""sku"":""1109"",""req"":1},{""sku"":""1115"",""req"":1},{""sku"":""1110"",""req"":1},{""sku"":""1112"",""req"":1},{""sku"":""1116"",""req"":1}]")</f>
        <v>"formula":[{"sku":"1201","req":1},{"sku":"1109","req":1},{"sku":"1115","req":1},{"sku":"1110","req":1},{"sku":"1112","req":1},{"sku":"1116","req":1}]</v>
      </c>
      <c r="G417" s="0" t="n">
        <f aca="false">IFERROR(__xludf.dummyfunction("""COMPUTED_VALUE"""),1)</f>
        <v>1</v>
      </c>
      <c r="H417" s="21" t="str">
        <f aca="false">IFERROR(__xludf.dummyfunction("IF(D417,filter(Productos!AC:AC,Productos!A:A=B417),)"),"cocina")</f>
        <v>cocina</v>
      </c>
      <c r="I417" s="24" t="n">
        <f aca="false">IFERROR(__xludf.dummyfunction("""COMPUTED_VALUE"""),5700)</f>
        <v>5700</v>
      </c>
      <c r="K417" s="0" t="str">
        <f aca="false">IF(D417,"{""sku"":"""&amp;B417&amp;""", ""costo"":"&amp;C417&amp;", ""grupo"":"""&amp;A417&amp;""", ""lote"":"&amp;D417&amp;", ""tiempo"":"&amp;E417&amp;", "&amp;F417&amp;", ""vencimiento"":"&amp;G417&amp;IF(I417,", ""precio"":"&amp;I417,)&amp;", ""tipo"":"""&amp;H417&amp;"""},",)</f>
        <v>{"sku":"10015", "costo":10, "grupo":"6", "lote":1, "tiempo":20, "formula":[{"sku":"1201","req":1},{"sku":"1109","req":1},{"sku":"1115","req":1},{"sku":"1110","req":1},{"sku":"1112","req":1},{"sku":"1116","req":1}], "vencimiento":1, "precio":5700, "tipo":"cocina"},</v>
      </c>
    </row>
    <row r="418" customFormat="false" ht="13" hidden="false" customHeight="false" outlineLevel="0" collapsed="false">
      <c r="A418" s="16" t="n">
        <v>6</v>
      </c>
      <c r="B418" s="0" t="n">
        <f aca="false">IFERROR(__xludf.dummyfunction("""COMPUTED_VALUE"""),10016)</f>
        <v>10016</v>
      </c>
      <c r="C418" s="24" t="n">
        <f aca="false">IFERROR(__xludf.dummyfunction("""COMPUTED_VALUE"""),10)</f>
        <v>10</v>
      </c>
      <c r="D418" s="0" t="n">
        <f aca="false">IFERROR(__xludf.dummyfunction("""COMPUTED_VALUE"""),1)</f>
        <v>1</v>
      </c>
      <c r="E418" s="0" t="n">
        <f aca="false">IFERROR(__xludf.dummyfunction("""COMPUTED_VALUE"""),20)</f>
        <v>20</v>
      </c>
      <c r="F418" s="0" t="str">
        <f aca="false">IFERROR(__xludf.dummyfunction("filter(Formulas!$C:$C,Formulas!$A:$A=B418)"),"""formula"":[{""sku"":""1201"",""req"":1},{""sku"":""1106"",""req"":4},{""sku"":""1110"",""req"":1},{""sku"":""1112"",""req"":1},{""sku"":""1107"",""req"":1},{""sku"":""1116"",""req"":1}]")</f>
        <v>"formula":[{"sku":"1201","req":1},{"sku":"1106","req":4},{"sku":"1110","req":1},{"sku":"1112","req":1},{"sku":"1107","req":1},{"sku":"1116","req":1}]</v>
      </c>
      <c r="G418" s="0" t="n">
        <f aca="false">IFERROR(__xludf.dummyfunction("""COMPUTED_VALUE"""),1)</f>
        <v>1</v>
      </c>
      <c r="H418" s="21" t="str">
        <f aca="false">IFERROR(__xludf.dummyfunction("IF(D418,filter(Productos!AC:AC,Productos!A:A=B418),)"),"cocina")</f>
        <v>cocina</v>
      </c>
      <c r="I418" s="24" t="n">
        <f aca="false">IFERROR(__xludf.dummyfunction("""COMPUTED_VALUE"""),5700)</f>
        <v>5700</v>
      </c>
      <c r="K418" s="0" t="str">
        <f aca="false">IF(D418,"{""sku"":"""&amp;B418&amp;""", ""costo"":"&amp;C418&amp;", ""grupo"":"""&amp;A418&amp;""", ""lote"":"&amp;D418&amp;", ""tiempo"":"&amp;E418&amp;", "&amp;F418&amp;", ""vencimiento"":"&amp;G418&amp;IF(I418,", ""precio"":"&amp;I418,)&amp;", ""tipo"":"""&amp;H418&amp;"""},",)</f>
        <v>{"sku":"10016", "costo":10, "grupo":"6", "lote":1, "tiempo":20, "formula":[{"sku":"1201","req":1},{"sku":"1106","req":4},{"sku":"1110","req":1},{"sku":"1112","req":1},{"sku":"1107","req":1},{"sku":"1116","req":1}], "vencimiento":1, "precio":5700, "tipo":"cocina"},</v>
      </c>
    </row>
    <row r="419" customFormat="false" ht="13" hidden="false" customHeight="false" outlineLevel="0" collapsed="false">
      <c r="A419" s="17" t="n">
        <v>6</v>
      </c>
      <c r="B419" s="0" t="n">
        <f aca="false">IFERROR(__xludf.dummyfunction("""COMPUTED_VALUE"""),10017)</f>
        <v>10017</v>
      </c>
      <c r="C419" s="24" t="n">
        <f aca="false">IFERROR(__xludf.dummyfunction("""COMPUTED_VALUE"""),10)</f>
        <v>10</v>
      </c>
      <c r="D419" s="0" t="n">
        <f aca="false">IFERROR(__xludf.dummyfunction("""COMPUTED_VALUE"""),1)</f>
        <v>1</v>
      </c>
      <c r="E419" s="0" t="n">
        <f aca="false">IFERROR(__xludf.dummyfunction("""COMPUTED_VALUE"""),10)</f>
        <v>10</v>
      </c>
      <c r="F419" s="0" t="str">
        <f aca="false">IFERROR(__xludf.dummyfunction("filter(Formulas!$C:$C,Formulas!$A:$A=B419)"),"""formula"":[{""sku"":""1201"",""req"":1},{""sku"":""1110"",""req"":1},{""sku"":""1112"",""req"":1},{""sku"":""1107"",""req"":1},{""sku"":""1116"",""req"":1}]")</f>
        <v>"formula":[{"sku":"1201","req":1},{"sku":"1110","req":1},{"sku":"1112","req":1},{"sku":"1107","req":1},{"sku":"1116","req":1}]</v>
      </c>
      <c r="G419" s="0" t="n">
        <f aca="false">IFERROR(__xludf.dummyfunction("""COMPUTED_VALUE"""),1)</f>
        <v>1</v>
      </c>
      <c r="H419" s="21" t="str">
        <f aca="false">IFERROR(__xludf.dummyfunction("IF(D419,filter(Productos!AC:AC,Productos!A:A=B419),)"),"cocina")</f>
        <v>cocina</v>
      </c>
      <c r="I419" s="24" t="n">
        <f aca="false">IFERROR(__xludf.dummyfunction("""COMPUTED_VALUE"""),5700)</f>
        <v>5700</v>
      </c>
      <c r="K419" s="0" t="str">
        <f aca="false">IF(D419,"{""sku"":"""&amp;B419&amp;""", ""costo"":"&amp;C419&amp;", ""grupo"":"""&amp;A419&amp;""", ""lote"":"&amp;D419&amp;", ""tiempo"":"&amp;E419&amp;", "&amp;F419&amp;", ""vencimiento"":"&amp;G419&amp;IF(I419,", ""precio"":"&amp;I419,)&amp;", ""tipo"":"""&amp;H419&amp;"""},",)</f>
        <v>{"sku":"10017", "costo":10, "grupo":"6", "lote":1, "tiempo":10, "formula":[{"sku":"1201","req":1},{"sku":"1110","req":1},{"sku":"1112","req":1},{"sku":"1107","req":1},{"sku":"1116","req":1}], "vencimiento":1, "precio":5700, "tipo":"cocina"},</v>
      </c>
    </row>
    <row r="420" customFormat="false" ht="13" hidden="false" customHeight="false" outlineLevel="0" collapsed="false">
      <c r="A420" s="16" t="n">
        <v>6</v>
      </c>
      <c r="B420" s="0" t="n">
        <f aca="false">IFERROR(__xludf.dummyfunction("""COMPUTED_VALUE"""),10018)</f>
        <v>10018</v>
      </c>
      <c r="C420" s="24" t="n">
        <f aca="false">IFERROR(__xludf.dummyfunction("""COMPUTED_VALUE"""),10)</f>
        <v>10</v>
      </c>
      <c r="D420" s="0" t="n">
        <f aca="false">IFERROR(__xludf.dummyfunction("""COMPUTED_VALUE"""),1)</f>
        <v>1</v>
      </c>
      <c r="E420" s="0" t="n">
        <f aca="false">IFERROR(__xludf.dummyfunction("""COMPUTED_VALUE"""),10)</f>
        <v>10</v>
      </c>
      <c r="F420" s="0" t="str">
        <f aca="false">IFERROR(__xludf.dummyfunction("filter(Formulas!$C:$C,Formulas!$A:$A=B420)"),"""formula"":[{""sku"":""1201"",""req"":1},{""sku"":""1105"",""req"":1},{""sku"":""1112"",""req"":1},{""sku"":""1407"",""req"":1},{""sku"":""1116"",""req"":1}]")</f>
        <v>"formula":[{"sku":"1201","req":1},{"sku":"1105","req":1},{"sku":"1112","req":1},{"sku":"1407","req":1},{"sku":"1116","req":1}]</v>
      </c>
      <c r="G420" s="0" t="n">
        <f aca="false">IFERROR(__xludf.dummyfunction("""COMPUTED_VALUE"""),1)</f>
        <v>1</v>
      </c>
      <c r="H420" s="21" t="str">
        <f aca="false">IFERROR(__xludf.dummyfunction("IF(D420,filter(Productos!AC:AC,Productos!A:A=B420),)"),"cocina")</f>
        <v>cocina</v>
      </c>
      <c r="I420" s="24" t="n">
        <f aca="false">IFERROR(__xludf.dummyfunction("""COMPUTED_VALUE"""),5700)</f>
        <v>5700</v>
      </c>
      <c r="K420" s="0" t="str">
        <f aca="false">IF(D420,"{""sku"":"""&amp;B420&amp;""", ""costo"":"&amp;C420&amp;", ""grupo"":"""&amp;A420&amp;""", ""lote"":"&amp;D420&amp;", ""tiempo"":"&amp;E420&amp;", "&amp;F420&amp;", ""vencimiento"":"&amp;G420&amp;IF(I420,", ""precio"":"&amp;I420,)&amp;", ""tipo"":"""&amp;H420&amp;"""},",)</f>
        <v>{"sku":"10018", "costo":10, "grupo":"6", "lote":1, "tiempo":10, "formula":[{"sku":"1201","req":1},{"sku":"1105","req":1},{"sku":"1112","req":1},{"sku":"1407","req":1},{"sku":"1116","req":1}], "vencimiento":1, "precio":5700, "tipo":"cocina"},</v>
      </c>
    </row>
    <row r="421" customFormat="false" ht="13" hidden="false" customHeight="false" outlineLevel="0" collapsed="false">
      <c r="A421" s="17" t="n">
        <v>6</v>
      </c>
      <c r="B421" s="0" t="n">
        <f aca="false">IFERROR(__xludf.dummyfunction("""COMPUTED_VALUE"""),10019)</f>
        <v>10019</v>
      </c>
      <c r="C421" s="24" t="n">
        <f aca="false">IFERROR(__xludf.dummyfunction("""COMPUTED_VALUE"""),10)</f>
        <v>10</v>
      </c>
      <c r="D421" s="0" t="n">
        <f aca="false">IFERROR(__xludf.dummyfunction("""COMPUTED_VALUE"""),1)</f>
        <v>1</v>
      </c>
      <c r="E421" s="0" t="n">
        <f aca="false">IFERROR(__xludf.dummyfunction("""COMPUTED_VALUE"""),10)</f>
        <v>10</v>
      </c>
      <c r="F421" s="0" t="str">
        <f aca="false">IFERROR(__xludf.dummyfunction("filter(Formulas!$C:$C,Formulas!$A:$A=B421)"),"""formula"":[{""sku"":""1201"",""req"":1},{""sku"":""1106"",""req"":4},{""sku"":""1210"",""req"":1},{""sku"":""1116"",""req"":1},{""sku"":""1407"",""req"":1}]")</f>
        <v>"formula":[{"sku":"1201","req":1},{"sku":"1106","req":4},{"sku":"1210","req":1},{"sku":"1116","req":1},{"sku":"1407","req":1}]</v>
      </c>
      <c r="G421" s="0" t="n">
        <f aca="false">IFERROR(__xludf.dummyfunction("""COMPUTED_VALUE"""),1)</f>
        <v>1</v>
      </c>
      <c r="H421" s="21" t="str">
        <f aca="false">IFERROR(__xludf.dummyfunction("IF(D421,filter(Productos!AC:AC,Productos!A:A=B421),)"),"cocina")</f>
        <v>cocina</v>
      </c>
      <c r="I421" s="24" t="n">
        <f aca="false">IFERROR(__xludf.dummyfunction("""COMPUTED_VALUE"""),5700)</f>
        <v>5700</v>
      </c>
      <c r="K421" s="0" t="str">
        <f aca="false">IF(D421,"{""sku"":"""&amp;B421&amp;""", ""costo"":"&amp;C421&amp;", ""grupo"":"""&amp;A421&amp;""", ""lote"":"&amp;D421&amp;", ""tiempo"":"&amp;E421&amp;", "&amp;F421&amp;", ""vencimiento"":"&amp;G421&amp;IF(I421,", ""precio"":"&amp;I421,)&amp;", ""tipo"":"""&amp;H421&amp;"""},",)</f>
        <v>{"sku":"10019", "costo":10, "grupo":"6", "lote":1, "tiempo":10, "formula":[{"sku":"1201","req":1},{"sku":"1106","req":4},{"sku":"1210","req":1},{"sku":"1116","req":1},{"sku":"1407","req":1}], "vencimiento":1, "precio":5700, "tipo":"cocina"},</v>
      </c>
    </row>
    <row r="422" customFormat="false" ht="13" hidden="false" customHeight="false" outlineLevel="0" collapsed="false">
      <c r="A422" s="16" t="n">
        <v>6</v>
      </c>
      <c r="B422" s="0" t="n">
        <f aca="false">IFERROR(__xludf.dummyfunction("""COMPUTED_VALUE"""),10020)</f>
        <v>10020</v>
      </c>
      <c r="C422" s="24" t="n">
        <f aca="false">IFERROR(__xludf.dummyfunction("""COMPUTED_VALUE"""),10)</f>
        <v>10</v>
      </c>
      <c r="D422" s="0" t="n">
        <f aca="false">IFERROR(__xludf.dummyfunction("""COMPUTED_VALUE"""),1)</f>
        <v>1</v>
      </c>
      <c r="E422" s="0" t="n">
        <f aca="false">IFERROR(__xludf.dummyfunction("""COMPUTED_VALUE"""),20)</f>
        <v>20</v>
      </c>
      <c r="F422" s="0" t="str">
        <f aca="false">IFERROR(__xludf.dummyfunction("filter(Formulas!$C:$C,Formulas!$A:$A=B422)"),"""formula"":[{""sku"":""1201"",""req"":1},{""sku"":""1116"",""req"":1},{""sku"":""1106"",""req"":4},{""sku"":""1112"",""req"":1},{""sku"":""1114"",""req"":1},{""sku"":""1407"",""req"":1}]")</f>
        <v>"formula":[{"sku":"1201","req":1},{"sku":"1116","req":1},{"sku":"1106","req":4},{"sku":"1112","req":1},{"sku":"1114","req":1},{"sku":"1407","req":1}]</v>
      </c>
      <c r="G422" s="0" t="n">
        <f aca="false">IFERROR(__xludf.dummyfunction("""COMPUTED_VALUE"""),1)</f>
        <v>1</v>
      </c>
      <c r="H422" s="21" t="str">
        <f aca="false">IFERROR(__xludf.dummyfunction("IF(D422,filter(Productos!AC:AC,Productos!A:A=B422),)"),"cocina")</f>
        <v>cocina</v>
      </c>
      <c r="I422" s="24" t="n">
        <f aca="false">IFERROR(__xludf.dummyfunction("""COMPUTED_VALUE"""),5900)</f>
        <v>5900</v>
      </c>
      <c r="K422" s="0" t="str">
        <f aca="false">IF(D422,"{""sku"":"""&amp;B422&amp;""", ""costo"":"&amp;C422&amp;", ""grupo"":"""&amp;A422&amp;""", ""lote"":"&amp;D422&amp;", ""tiempo"":"&amp;E422&amp;", "&amp;F422&amp;", ""vencimiento"":"&amp;G422&amp;IF(I422,", ""precio"":"&amp;I422,)&amp;", ""tipo"":"""&amp;H422&amp;"""},",)</f>
        <v>{"sku":"10020", "costo":10, "grupo":"6", "lote":1, "tiempo":20, "formula":[{"sku":"1201","req":1},{"sku":"1116","req":1},{"sku":"1106","req":4},{"sku":"1112","req":1},{"sku":"1114","req":1},{"sku":"1407","req":1}], "vencimiento":1, "precio":5900, "tipo":"cocina"},</v>
      </c>
    </row>
    <row r="423" customFormat="false" ht="13" hidden="false" customHeight="false" outlineLevel="0" collapsed="false">
      <c r="A423" s="17" t="n">
        <v>6</v>
      </c>
      <c r="B423" s="0" t="n">
        <f aca="false">IFERROR(__xludf.dummyfunction("""COMPUTED_VALUE"""),10021)</f>
        <v>10021</v>
      </c>
      <c r="C423" s="24" t="n">
        <f aca="false">IFERROR(__xludf.dummyfunction("""COMPUTED_VALUE"""),10)</f>
        <v>10</v>
      </c>
      <c r="D423" s="0" t="n">
        <f aca="false">IFERROR(__xludf.dummyfunction("""COMPUTED_VALUE"""),1)</f>
        <v>1</v>
      </c>
      <c r="E423" s="0" t="n">
        <f aca="false">IFERROR(__xludf.dummyfunction("""COMPUTED_VALUE"""),10)</f>
        <v>10</v>
      </c>
      <c r="F423" s="0" t="str">
        <f aca="false">IFERROR(__xludf.dummyfunction("filter(Formulas!$C:$C,Formulas!$A:$A=B423)"),"""formula"":[{""sku"":""1201"",""req"":1},{""sku"":""1116"",""req"":1},{""sku"":""1109"",""req"":1},{""sku"":""1114"",""req"":1},{""sku"":""1407"",""req"":1}]")</f>
        <v>"formula":[{"sku":"1201","req":1},{"sku":"1116","req":1},{"sku":"1109","req":1},{"sku":"1114","req":1},{"sku":"1407","req":1}]</v>
      </c>
      <c r="G423" s="0" t="n">
        <f aca="false">IFERROR(__xludf.dummyfunction("""COMPUTED_VALUE"""),1)</f>
        <v>1</v>
      </c>
      <c r="H423" s="21" t="str">
        <f aca="false">IFERROR(__xludf.dummyfunction("IF(D423,filter(Productos!AC:AC,Productos!A:A=B423),)"),"cocina")</f>
        <v>cocina</v>
      </c>
      <c r="I423" s="24" t="n">
        <f aca="false">IFERROR(__xludf.dummyfunction("""COMPUTED_VALUE"""),5900)</f>
        <v>5900</v>
      </c>
      <c r="K423" s="0" t="str">
        <f aca="false">IF(D423,"{""sku"":"""&amp;B423&amp;""", ""costo"":"&amp;C423&amp;", ""grupo"":"""&amp;A423&amp;""", ""lote"":"&amp;D423&amp;", ""tiempo"":"&amp;E423&amp;", "&amp;F423&amp;", ""vencimiento"":"&amp;G423&amp;IF(I423,", ""precio"":"&amp;I423,)&amp;", ""tipo"":"""&amp;H423&amp;"""},",)</f>
        <v>{"sku":"10021", "costo":10, "grupo":"6", "lote":1, "tiempo":10, "formula":[{"sku":"1201","req":1},{"sku":"1116","req":1},{"sku":"1109","req":1},{"sku":"1114","req":1},{"sku":"1407","req":1}], "vencimiento":1, "precio":5900, "tipo":"cocina"},</v>
      </c>
    </row>
    <row r="424" customFormat="false" ht="13" hidden="false" customHeight="false" outlineLevel="0" collapsed="false">
      <c r="A424" s="16" t="n">
        <v>6</v>
      </c>
      <c r="B424" s="0" t="n">
        <f aca="false">IFERROR(__xludf.dummyfunction("""COMPUTED_VALUE"""),10022)</f>
        <v>10022</v>
      </c>
      <c r="C424" s="24" t="n">
        <f aca="false">IFERROR(__xludf.dummyfunction("""COMPUTED_VALUE"""),10)</f>
        <v>10</v>
      </c>
      <c r="D424" s="0" t="n">
        <f aca="false">IFERROR(__xludf.dummyfunction("""COMPUTED_VALUE"""),1)</f>
        <v>1</v>
      </c>
      <c r="E424" s="0" t="n">
        <f aca="false">IFERROR(__xludf.dummyfunction("""COMPUTED_VALUE"""),20)</f>
        <v>20</v>
      </c>
      <c r="F424" s="0" t="str">
        <f aca="false">IFERROR(__xludf.dummyfunction("filter(Formulas!$C:$C,Formulas!$A:$A=B424)"),"""formula"":[{""sku"":""1201"",""req"":1},{""sku"":""1116"",""req"":1},{""sku"":""1107"",""req"":1},{""sku"":""1112"",""req"":1},{""sku"":""1210"",""req"":1},{""sku"":""1215"",""req"":1}]")</f>
        <v>"formula":[{"sku":"1201","req":1},{"sku":"1116","req":1},{"sku":"1107","req":1},{"sku":"1112","req":1},{"sku":"1210","req":1},{"sku":"1215","req":1}]</v>
      </c>
      <c r="G424" s="0" t="n">
        <f aca="false">IFERROR(__xludf.dummyfunction("""COMPUTED_VALUE"""),1)</f>
        <v>1</v>
      </c>
      <c r="H424" s="21" t="str">
        <f aca="false">IFERROR(__xludf.dummyfunction("IF(D424,filter(Productos!AC:AC,Productos!A:A=B424),)"),"cocina")</f>
        <v>cocina</v>
      </c>
      <c r="I424" s="24" t="n">
        <f aca="false">IFERROR(__xludf.dummyfunction("""COMPUTED_VALUE"""),5500)</f>
        <v>5500</v>
      </c>
      <c r="K424" s="0" t="str">
        <f aca="false">IF(D424,"{""sku"":"""&amp;B424&amp;""", ""costo"":"&amp;C424&amp;", ""grupo"":"""&amp;A424&amp;""", ""lote"":"&amp;D424&amp;", ""tiempo"":"&amp;E424&amp;", "&amp;F424&amp;", ""vencimiento"":"&amp;G424&amp;IF(I424,", ""precio"":"&amp;I424,)&amp;", ""tipo"":"""&amp;H424&amp;"""},",)</f>
        <v>{"sku":"10022", "costo":10, "grupo":"6", "lote":1, "tiempo":20, "formula":[{"sku":"1201","req":1},{"sku":"1116","req":1},{"sku":"1107","req":1},{"sku":"1112","req":1},{"sku":"1210","req":1},{"sku":"1215","req":1}], "vencimiento":1, "precio":5500, "tipo":"cocina"},</v>
      </c>
    </row>
    <row r="425" customFormat="false" ht="13" hidden="false" customHeight="false" outlineLevel="0" collapsed="false">
      <c r="A425" s="17" t="n">
        <v>6</v>
      </c>
      <c r="B425" s="0" t="n">
        <f aca="false">IFERROR(__xludf.dummyfunction("""COMPUTED_VALUE"""),10023)</f>
        <v>10023</v>
      </c>
      <c r="C425" s="24" t="n">
        <f aca="false">IFERROR(__xludf.dummyfunction("""COMPUTED_VALUE"""),10)</f>
        <v>10</v>
      </c>
      <c r="D425" s="0" t="n">
        <f aca="false">IFERROR(__xludf.dummyfunction("""COMPUTED_VALUE"""),1)</f>
        <v>1</v>
      </c>
      <c r="E425" s="0" t="n">
        <f aca="false">IFERROR(__xludf.dummyfunction("""COMPUTED_VALUE"""),20)</f>
        <v>20</v>
      </c>
      <c r="F425" s="0" t="str">
        <f aca="false">IFERROR(__xludf.dummyfunction("filter(Formulas!$C:$C,Formulas!$A:$A=B425)"),"""formula"":[{""sku"":""1201"",""req"":1},{""sku"":""1116"",""req"":1},{""sku"":""1109"",""req"":1},{""sku"":""1112"",""req"":1},{""sku"":""1210"",""req"":1},{""sku"":""1215"",""req"":1}]")</f>
        <v>"formula":[{"sku":"1201","req":1},{"sku":"1116","req":1},{"sku":"1109","req":1},{"sku":"1112","req":1},{"sku":"1210","req":1},{"sku":"1215","req":1}]</v>
      </c>
      <c r="G425" s="0" t="n">
        <f aca="false">IFERROR(__xludf.dummyfunction("""COMPUTED_VALUE"""),1)</f>
        <v>1</v>
      </c>
      <c r="H425" s="21" t="str">
        <f aca="false">IFERROR(__xludf.dummyfunction("IF(D425,filter(Productos!AC:AC,Productos!A:A=B425),)"),"cocina")</f>
        <v>cocina</v>
      </c>
      <c r="I425" s="24" t="n">
        <f aca="false">IFERROR(__xludf.dummyfunction("""COMPUTED_VALUE"""),5500)</f>
        <v>5500</v>
      </c>
      <c r="K425" s="0" t="str">
        <f aca="false">IF(D425,"{""sku"":"""&amp;B425&amp;""", ""costo"":"&amp;C425&amp;", ""grupo"":"""&amp;A425&amp;""", ""lote"":"&amp;D425&amp;", ""tiempo"":"&amp;E425&amp;", "&amp;F425&amp;", ""vencimiento"":"&amp;G425&amp;IF(I425,", ""precio"":"&amp;I425,)&amp;", ""tipo"":"""&amp;H425&amp;"""},",)</f>
        <v>{"sku":"10023", "costo":10, "grupo":"6", "lote":1, "tiempo":20, "formula":[{"sku":"1201","req":1},{"sku":"1116","req":1},{"sku":"1109","req":1},{"sku":"1112","req":1},{"sku":"1210","req":1},{"sku":"1215","req":1}], "vencimiento":1, "precio":5500, "tipo":"cocina"},</v>
      </c>
    </row>
    <row r="426" customFormat="false" ht="13" hidden="false" customHeight="false" outlineLevel="0" collapsed="false">
      <c r="A426" s="16" t="n">
        <v>6</v>
      </c>
      <c r="B426" s="0" t="n">
        <f aca="false">IFERROR(__xludf.dummyfunction("""COMPUTED_VALUE"""),10024)</f>
        <v>10024</v>
      </c>
      <c r="C426" s="24" t="n">
        <f aca="false">IFERROR(__xludf.dummyfunction("""COMPUTED_VALUE"""),10)</f>
        <v>10</v>
      </c>
      <c r="D426" s="0" t="n">
        <f aca="false">IFERROR(__xludf.dummyfunction("""COMPUTED_VALUE"""),1)</f>
        <v>1</v>
      </c>
      <c r="E426" s="0" t="n">
        <f aca="false">IFERROR(__xludf.dummyfunction("""COMPUTED_VALUE"""),20)</f>
        <v>20</v>
      </c>
      <c r="F426" s="0" t="str">
        <f aca="false">IFERROR(__xludf.dummyfunction("filter(Formulas!$C:$C,Formulas!$A:$A=B426)"),"""formula"":[{""sku"":""1201"",""req"":1},{""sku"":""1116"",""req"":1},{""sku"":""1210"",""req"":1},{""sku"":""1114"",""req"":1},{""sku"":""1115"",""req"":1},{""sku"":""1211"",""req"":1}]")</f>
        <v>"formula":[{"sku":"1201","req":1},{"sku":"1116","req":1},{"sku":"1210","req":1},{"sku":"1114","req":1},{"sku":"1115","req":1},{"sku":"1211","req":1}]</v>
      </c>
      <c r="G426" s="0" t="n">
        <f aca="false">IFERROR(__xludf.dummyfunction("""COMPUTED_VALUE"""),1)</f>
        <v>1</v>
      </c>
      <c r="H426" s="21" t="str">
        <f aca="false">IFERROR(__xludf.dummyfunction("IF(D426,filter(Productos!AC:AC,Productos!A:A=B426),)"),"cocina")</f>
        <v>cocina</v>
      </c>
      <c r="I426" s="24" t="n">
        <f aca="false">IFERROR(__xludf.dummyfunction("""COMPUTED_VALUE"""),4900)</f>
        <v>4900</v>
      </c>
      <c r="K426" s="0" t="str">
        <f aca="false">IF(D426,"{""sku"":"""&amp;B426&amp;""", ""costo"":"&amp;C426&amp;", ""grupo"":"""&amp;A426&amp;""", ""lote"":"&amp;D426&amp;", ""tiempo"":"&amp;E426&amp;", "&amp;F426&amp;", ""vencimiento"":"&amp;G426&amp;IF(I426,", ""precio"":"&amp;I426,)&amp;", ""tipo"":"""&amp;H426&amp;"""},",)</f>
        <v>{"sku":"10024", "costo":10, "grupo":"6", "lote":1, "tiempo":20, "formula":[{"sku":"1201","req":1},{"sku":"1116","req":1},{"sku":"1210","req":1},{"sku":"1114","req":1},{"sku":"1115","req":1},{"sku":"1211","req":1}], "vencimiento":1, "precio":4900, "tipo":"cocina"},</v>
      </c>
    </row>
    <row r="427" customFormat="false" ht="13" hidden="false" customHeight="false" outlineLevel="0" collapsed="false">
      <c r="A427" s="17" t="n">
        <v>6</v>
      </c>
      <c r="B427" s="0" t="n">
        <f aca="false">IFERROR(__xludf.dummyfunction("""COMPUTED_VALUE"""),10025)</f>
        <v>10025</v>
      </c>
      <c r="C427" s="24" t="n">
        <f aca="false">IFERROR(__xludf.dummyfunction("""COMPUTED_VALUE"""),10)</f>
        <v>10</v>
      </c>
      <c r="D427" s="0" t="n">
        <f aca="false">IFERROR(__xludf.dummyfunction("""COMPUTED_VALUE"""),1)</f>
        <v>1</v>
      </c>
      <c r="E427" s="0" t="n">
        <f aca="false">IFERROR(__xludf.dummyfunction("""COMPUTED_VALUE"""),20)</f>
        <v>20</v>
      </c>
      <c r="F427" s="0" t="str">
        <f aca="false">IFERROR(__xludf.dummyfunction("filter(Formulas!$C:$C,Formulas!$A:$A=B427)"),"""formula"":[{""sku"":""1201"",""req"":1},{""sku"":""1116"",""req"":1},{""sku"":""1210"",""req"":1},{""sku"":""1114"",""req"":1},{""sku"":""1115"",""req"":1},{""sku"":""1013"",""req"":5}]")</f>
        <v>"formula":[{"sku":"1201","req":1},{"sku":"1116","req":1},{"sku":"1210","req":1},{"sku":"1114","req":1},{"sku":"1115","req":1},{"sku":"1013","req":5}]</v>
      </c>
      <c r="G427" s="0" t="n">
        <f aca="false">IFERROR(__xludf.dummyfunction("""COMPUTED_VALUE"""),1)</f>
        <v>1</v>
      </c>
      <c r="H427" s="21" t="str">
        <f aca="false">IFERROR(__xludf.dummyfunction("IF(D427,filter(Productos!AC:AC,Productos!A:A=B427),)"),"cocina")</f>
        <v>cocina</v>
      </c>
      <c r="I427" s="24" t="n">
        <f aca="false">IFERROR(__xludf.dummyfunction("""COMPUTED_VALUE"""),4900)</f>
        <v>4900</v>
      </c>
      <c r="K427" s="0" t="str">
        <f aca="false">IF(D427,"{""sku"":"""&amp;B427&amp;""", ""costo"":"&amp;C427&amp;", ""grupo"":"""&amp;A427&amp;""", ""lote"":"&amp;D427&amp;", ""tiempo"":"&amp;E427&amp;", "&amp;F427&amp;", ""vencimiento"":"&amp;G427&amp;IF(I427,", ""precio"":"&amp;I427,)&amp;", ""tipo"":"""&amp;H427&amp;"""},",)</f>
        <v>{"sku":"10025", "costo":10, "grupo":"6", "lote":1, "tiempo":20, "formula":[{"sku":"1201","req":1},{"sku":"1116","req":1},{"sku":"1210","req":1},{"sku":"1114","req":1},{"sku":"1115","req":1},{"sku":"1013","req":5}], "vencimiento":1, "precio":4900, "tipo":"cocina"},</v>
      </c>
    </row>
    <row r="428" customFormat="false" ht="13" hidden="false" customHeight="false" outlineLevel="0" collapsed="false">
      <c r="A428" s="16" t="n">
        <v>6</v>
      </c>
      <c r="B428" s="0" t="n">
        <f aca="false">IFERROR(__xludf.dummyfunction("""COMPUTED_VALUE"""),20001)</f>
        <v>20001</v>
      </c>
      <c r="C428" s="24" t="n">
        <f aca="false">IFERROR(__xludf.dummyfunction("""COMPUTED_VALUE"""),10)</f>
        <v>10</v>
      </c>
      <c r="D428" s="0" t="n">
        <f aca="false">IFERROR(__xludf.dummyfunction("""COMPUTED_VALUE"""),1)</f>
        <v>1</v>
      </c>
      <c r="E428" s="0" t="n">
        <f aca="false">IFERROR(__xludf.dummyfunction("""COMPUTED_VALUE"""),10)</f>
        <v>10</v>
      </c>
      <c r="F428" s="0" t="str">
        <f aca="false">IFERROR(__xludf.dummyfunction("filter(Formulas!$C:$C,Formulas!$A:$A=B428)"),"""formula"":[{""sku"":""1301"",""req"":1},{""sku"":""1207"",""req"":1},{""sku"":""1310"",""req"":1},{""sku"":""1112"",""req"":1},{""sku"":""1216"",""req"":1}]")</f>
        <v>"formula":[{"sku":"1301","req":1},{"sku":"1207","req":1},{"sku":"1310","req":1},{"sku":"1112","req":1},{"sku":"1216","req":1}]</v>
      </c>
      <c r="G428" s="0" t="n">
        <f aca="false">IFERROR(__xludf.dummyfunction("""COMPUTED_VALUE"""),1)</f>
        <v>1</v>
      </c>
      <c r="H428" s="21" t="str">
        <f aca="false">IFERROR(__xludf.dummyfunction("IF(D428,filter(Productos!AC:AC,Productos!A:A=B428),)"),"cocina")</f>
        <v>cocina</v>
      </c>
      <c r="I428" s="24" t="n">
        <f aca="false">IFERROR(__xludf.dummyfunction("""COMPUTED_VALUE"""),2700)</f>
        <v>2700</v>
      </c>
      <c r="K428" s="0" t="str">
        <f aca="false">IF(D428,"{""sku"":"""&amp;B428&amp;""", ""costo"":"&amp;C428&amp;", ""grupo"":"""&amp;A428&amp;""", ""lote"":"&amp;D428&amp;", ""tiempo"":"&amp;E428&amp;", "&amp;F428&amp;", ""vencimiento"":"&amp;G428&amp;IF(I428,", ""precio"":"&amp;I428,)&amp;", ""tipo"":"""&amp;H428&amp;"""},",)</f>
        <v>{"sku":"20001", "costo":10, "grupo":"6", "lote":1, "tiempo":10, "formula":[{"sku":"1301","req":1},{"sku":"1207","req":1},{"sku":"1310","req":1},{"sku":"1112","req":1},{"sku":"1216","req":1}], "vencimiento":1, "precio":2700, "tipo":"cocina"},</v>
      </c>
    </row>
    <row r="429" customFormat="false" ht="13" hidden="false" customHeight="false" outlineLevel="0" collapsed="false">
      <c r="A429" s="17" t="n">
        <v>6</v>
      </c>
      <c r="B429" s="0" t="n">
        <f aca="false">IFERROR(__xludf.dummyfunction("""COMPUTED_VALUE"""),20002)</f>
        <v>20002</v>
      </c>
      <c r="C429" s="24" t="n">
        <f aca="false">IFERROR(__xludf.dummyfunction("""COMPUTED_VALUE"""),10)</f>
        <v>10</v>
      </c>
      <c r="D429" s="0" t="n">
        <f aca="false">IFERROR(__xludf.dummyfunction("""COMPUTED_VALUE"""),1)</f>
        <v>1</v>
      </c>
      <c r="E429" s="0" t="n">
        <f aca="false">IFERROR(__xludf.dummyfunction("""COMPUTED_VALUE"""),10)</f>
        <v>10</v>
      </c>
      <c r="F429" s="0" t="str">
        <f aca="false">IFERROR(__xludf.dummyfunction("filter(Formulas!$C:$C,Formulas!$A:$A=B429)"),"""formula"":[{""sku"":""1301"",""req"":1},{""sku"":""1216"",""req"":1},{""sku"":""1106"",""req"":4}]")</f>
        <v>"formula":[{"sku":"1301","req":1},{"sku":"1216","req":1},{"sku":"1106","req":4}]</v>
      </c>
      <c r="G429" s="0" t="n">
        <f aca="false">IFERROR(__xludf.dummyfunction("""COMPUTED_VALUE"""),1)</f>
        <v>1</v>
      </c>
      <c r="H429" s="21" t="str">
        <f aca="false">IFERROR(__xludf.dummyfunction("IF(D429,filter(Productos!AC:AC,Productos!A:A=B429),)"),"cocina")</f>
        <v>cocina</v>
      </c>
      <c r="I429" s="24" t="n">
        <f aca="false">IFERROR(__xludf.dummyfunction("""COMPUTED_VALUE"""),2700)</f>
        <v>2700</v>
      </c>
      <c r="K429" s="0" t="str">
        <f aca="false">IF(D429,"{""sku"":"""&amp;B429&amp;""", ""costo"":"&amp;C429&amp;", ""grupo"":"""&amp;A429&amp;""", ""lote"":"&amp;D429&amp;", ""tiempo"":"&amp;E429&amp;", "&amp;F429&amp;", ""vencimiento"":"&amp;G429&amp;IF(I429,", ""precio"":"&amp;I429,)&amp;", ""tipo"":"""&amp;H429&amp;"""},",)</f>
        <v>{"sku":"20002", "costo":10, "grupo":"6", "lote":1, "tiempo":10, "formula":[{"sku":"1301","req":1},{"sku":"1216","req":1},{"sku":"1106","req":4}], "vencimiento":1, "precio":2700, "tipo":"cocina"},</v>
      </c>
    </row>
    <row r="430" customFormat="false" ht="13" hidden="false" customHeight="false" outlineLevel="0" collapsed="false">
      <c r="A430" s="16" t="n">
        <v>6</v>
      </c>
      <c r="B430" s="0" t="n">
        <f aca="false">IFERROR(__xludf.dummyfunction("""COMPUTED_VALUE"""),20003)</f>
        <v>20003</v>
      </c>
      <c r="C430" s="24" t="n">
        <f aca="false">IFERROR(__xludf.dummyfunction("""COMPUTED_VALUE"""),10)</f>
        <v>10</v>
      </c>
      <c r="D430" s="0" t="n">
        <f aca="false">IFERROR(__xludf.dummyfunction("""COMPUTED_VALUE"""),1)</f>
        <v>1</v>
      </c>
      <c r="E430" s="0" t="n">
        <f aca="false">IFERROR(__xludf.dummyfunction("""COMPUTED_VALUE"""),10)</f>
        <v>10</v>
      </c>
      <c r="F430" s="0" t="str">
        <f aca="false">IFERROR(__xludf.dummyfunction("filter(Formulas!$C:$C,Formulas!$A:$A=B430)"),"""formula"":[{""sku"":""1301"",""req"":1},{""sku"":""1216"",""req"":1},{""sku"":""1207"",""req"":1}]")</f>
        <v>"formula":[{"sku":"1301","req":1},{"sku":"1216","req":1},{"sku":"1207","req":1}]</v>
      </c>
      <c r="G430" s="0" t="n">
        <f aca="false">IFERROR(__xludf.dummyfunction("""COMPUTED_VALUE"""),1)</f>
        <v>1</v>
      </c>
      <c r="H430" s="21" t="str">
        <f aca="false">IFERROR(__xludf.dummyfunction("IF(D430,filter(Productos!AC:AC,Productos!A:A=B430),)"),"cocina")</f>
        <v>cocina</v>
      </c>
      <c r="I430" s="24" t="n">
        <f aca="false">IFERROR(__xludf.dummyfunction("""COMPUTED_VALUE"""),2700)</f>
        <v>2700</v>
      </c>
      <c r="K430" s="0" t="str">
        <f aca="false">IF(D430,"{""sku"":"""&amp;B430&amp;""", ""costo"":"&amp;C430&amp;", ""grupo"":"""&amp;A430&amp;""", ""lote"":"&amp;D430&amp;", ""tiempo"":"&amp;E430&amp;", "&amp;F430&amp;", ""vencimiento"":"&amp;G430&amp;IF(I430,", ""precio"":"&amp;I430,)&amp;", ""tipo"":"""&amp;H430&amp;"""},",)</f>
        <v>{"sku":"20003", "costo":10, "grupo":"6", "lote":1, "tiempo":10, "formula":[{"sku":"1301","req":1},{"sku":"1216","req":1},{"sku":"1207","req":1}], "vencimiento":1, "precio":2700, "tipo":"cocina"},</v>
      </c>
    </row>
    <row r="431" customFormat="false" ht="13" hidden="false" customHeight="false" outlineLevel="0" collapsed="false">
      <c r="A431" s="17" t="n">
        <v>6</v>
      </c>
      <c r="B431" s="0" t="n">
        <f aca="false">IFERROR(__xludf.dummyfunction("""COMPUTED_VALUE"""),20004)</f>
        <v>20004</v>
      </c>
      <c r="C431" s="24" t="n">
        <f aca="false">IFERROR(__xludf.dummyfunction("""COMPUTED_VALUE"""),10)</f>
        <v>10</v>
      </c>
      <c r="D431" s="0" t="n">
        <f aca="false">IFERROR(__xludf.dummyfunction("""COMPUTED_VALUE"""),1)</f>
        <v>1</v>
      </c>
      <c r="E431" s="0" t="n">
        <f aca="false">IFERROR(__xludf.dummyfunction("""COMPUTED_VALUE"""),10)</f>
        <v>10</v>
      </c>
      <c r="F431" s="0" t="str">
        <f aca="false">IFERROR(__xludf.dummyfunction("filter(Formulas!$C:$C,Formulas!$A:$A=B431)"),"""formula"":[{""sku"":""1301"",""req"":1},{""sku"":""1216"",""req"":1},{""sku"":""1209"",""req"":1}]")</f>
        <v>"formula":[{"sku":"1301","req":1},{"sku":"1216","req":1},{"sku":"1209","req":1}]</v>
      </c>
      <c r="G431" s="0" t="n">
        <f aca="false">IFERROR(__xludf.dummyfunction("""COMPUTED_VALUE"""),1)</f>
        <v>1</v>
      </c>
      <c r="H431" s="21" t="str">
        <f aca="false">IFERROR(__xludf.dummyfunction("IF(D431,filter(Productos!AC:AC,Productos!A:A=B431),)"),"cocina")</f>
        <v>cocina</v>
      </c>
      <c r="I431" s="24" t="n">
        <f aca="false">IFERROR(__xludf.dummyfunction("""COMPUTED_VALUE"""),2700)</f>
        <v>2700</v>
      </c>
      <c r="K431" s="0" t="str">
        <f aca="false">IF(D431,"{""sku"":"""&amp;B431&amp;""", ""costo"":"&amp;C431&amp;", ""grupo"":"""&amp;A431&amp;""", ""lote"":"&amp;D431&amp;", ""tiempo"":"&amp;E431&amp;", "&amp;F431&amp;", ""vencimiento"":"&amp;G431&amp;IF(I431,", ""precio"":"&amp;I431,)&amp;", ""tipo"":"""&amp;H431&amp;"""},",)</f>
        <v>{"sku":"20004", "costo":10, "grupo":"6", "lote":1, "tiempo":10, "formula":[{"sku":"1301","req":1},{"sku":"1216","req":1},{"sku":"1209","req":1}], "vencimiento":1, "precio":2700, "tipo":"cocina"},</v>
      </c>
    </row>
    <row r="432" customFormat="false" ht="13" hidden="false" customHeight="false" outlineLevel="0" collapsed="false">
      <c r="A432" s="16" t="n">
        <v>6</v>
      </c>
      <c r="B432" s="0" t="n">
        <f aca="false">IFERROR(__xludf.dummyfunction("""COMPUTED_VALUE"""),20005)</f>
        <v>20005</v>
      </c>
      <c r="C432" s="24" t="n">
        <f aca="false">IFERROR(__xludf.dummyfunction("""COMPUTED_VALUE"""),10)</f>
        <v>10</v>
      </c>
      <c r="D432" s="0" t="n">
        <f aca="false">IFERROR(__xludf.dummyfunction("""COMPUTED_VALUE"""),1)</f>
        <v>1</v>
      </c>
      <c r="E432" s="0" t="n">
        <f aca="false">IFERROR(__xludf.dummyfunction("""COMPUTED_VALUE"""),20)</f>
        <v>20</v>
      </c>
      <c r="F432" s="0" t="str">
        <f aca="false">IFERROR(__xludf.dummyfunction("filter(Formulas!$C:$C,Formulas!$A:$A=B432)"),"""formula"":[{""sku"":""1301"",""req"":1},{""sku"":""1216"",""req"":1},{""sku"":""1209"",""req"":1},{""sku"":""1310"",""req"":1},{""sku"":""1112"",""req"":1}]")</f>
        <v>"formula":[{"sku":"1301","req":1},{"sku":"1216","req":1},{"sku":"1209","req":1},{"sku":"1310","req":1},{"sku":"1112","req":1}]</v>
      </c>
      <c r="G432" s="0" t="n">
        <f aca="false">IFERROR(__xludf.dummyfunction("""COMPUTED_VALUE"""),1)</f>
        <v>1</v>
      </c>
      <c r="H432" s="21" t="str">
        <f aca="false">IFERROR(__xludf.dummyfunction("IF(D432,filter(Productos!AC:AC,Productos!A:A=B432),)"),"cocina")</f>
        <v>cocina</v>
      </c>
      <c r="I432" s="24" t="n">
        <f aca="false">IFERROR(__xludf.dummyfunction("""COMPUTED_VALUE"""),2700)</f>
        <v>2700</v>
      </c>
      <c r="K432" s="0" t="str">
        <f aca="false">IF(D432,"{""sku"":"""&amp;B432&amp;""", ""costo"":"&amp;C432&amp;", ""grupo"":"""&amp;A432&amp;""", ""lote"":"&amp;D432&amp;", ""tiempo"":"&amp;E432&amp;", "&amp;F432&amp;", ""vencimiento"":"&amp;G432&amp;IF(I432,", ""precio"":"&amp;I432,)&amp;", ""tipo"":"""&amp;H432&amp;"""},",)</f>
        <v>{"sku":"20005", "costo":10, "grupo":"6", "lote":1, "tiempo":20, "formula":[{"sku":"1301","req":1},{"sku":"1216","req":1},{"sku":"1209","req":1},{"sku":"1310","req":1},{"sku":"1112","req":1}], "vencimiento":1, "precio":2700, "tipo":"cocina"},</v>
      </c>
    </row>
    <row r="433" customFormat="false" ht="13" hidden="false" customHeight="false" outlineLevel="0" collapsed="false">
      <c r="A433" s="17" t="n">
        <v>6</v>
      </c>
      <c r="B433" s="0" t="n">
        <f aca="false">IFERROR(__xludf.dummyfunction("""COMPUTED_VALUE"""),30001)</f>
        <v>30001</v>
      </c>
      <c r="C433" s="24" t="n">
        <f aca="false">IFERROR(__xludf.dummyfunction("""COMPUTED_VALUE"""),10)</f>
        <v>10</v>
      </c>
      <c r="D433" s="0" t="n">
        <f aca="false">IFERROR(__xludf.dummyfunction("""COMPUTED_VALUE"""),1)</f>
        <v>1</v>
      </c>
      <c r="E433" s="0" t="n">
        <f aca="false">IFERROR(__xludf.dummyfunction("""COMPUTED_VALUE"""),10)</f>
        <v>10</v>
      </c>
      <c r="F433" s="0" t="str">
        <f aca="false">IFERROR(__xludf.dummyfunction("filter(Formulas!$C:$C,Formulas!$A:$A=B433)"),"""formula"":[{""sku"":""1307"",""req"":3}]")</f>
        <v>"formula":[{"sku":"1307","req":3}]</v>
      </c>
      <c r="G433" s="0" t="n">
        <f aca="false">IFERROR(__xludf.dummyfunction("""COMPUTED_VALUE"""),1)</f>
        <v>1</v>
      </c>
      <c r="H433" s="21" t="str">
        <f aca="false">IFERROR(__xludf.dummyfunction("IF(D433,filter(Productos!AC:AC,Productos!A:A=B433),)"),"cocina")</f>
        <v>cocina</v>
      </c>
      <c r="I433" s="24" t="n">
        <f aca="false">IFERROR(__xludf.dummyfunction("""COMPUTED_VALUE"""),7900)</f>
        <v>7900</v>
      </c>
      <c r="K433" s="0" t="str">
        <f aca="false">IF(D433,"{""sku"":"""&amp;B433&amp;""", ""costo"":"&amp;C433&amp;", ""grupo"":"""&amp;A433&amp;""", ""lote"":"&amp;D433&amp;", ""tiempo"":"&amp;E433&amp;", "&amp;F433&amp;", ""vencimiento"":"&amp;G433&amp;IF(I433,", ""precio"":"&amp;I433,)&amp;", ""tipo"":"""&amp;H433&amp;"""},",)</f>
        <v>{"sku":"30001", "costo":10, "grupo":"6", "lote":1, "tiempo":10, "formula":[{"sku":"1307","req":3}], "vencimiento":1, "precio":7900, "tipo":"cocina"},</v>
      </c>
    </row>
    <row r="434" customFormat="false" ht="13" hidden="false" customHeight="false" outlineLevel="0" collapsed="false">
      <c r="A434" s="16" t="n">
        <v>6</v>
      </c>
      <c r="B434" s="0" t="n">
        <f aca="false">IFERROR(__xludf.dummyfunction("""COMPUTED_VALUE"""),30002)</f>
        <v>30002</v>
      </c>
      <c r="C434" s="24" t="n">
        <f aca="false">IFERROR(__xludf.dummyfunction("""COMPUTED_VALUE"""),10)</f>
        <v>10</v>
      </c>
      <c r="D434" s="0" t="n">
        <f aca="false">IFERROR(__xludf.dummyfunction("""COMPUTED_VALUE"""),1)</f>
        <v>1</v>
      </c>
      <c r="E434" s="0" t="n">
        <f aca="false">IFERROR(__xludf.dummyfunction("""COMPUTED_VALUE"""),10)</f>
        <v>10</v>
      </c>
      <c r="F434" s="0" t="str">
        <f aca="false">IFERROR(__xludf.dummyfunction("filter(Formulas!$C:$C,Formulas!$A:$A=B434)"),"""formula"":[{""sku"":""1307"",""req"":4}]")</f>
        <v>"formula":[{"sku":"1307","req":4}]</v>
      </c>
      <c r="G434" s="0" t="n">
        <f aca="false">IFERROR(__xludf.dummyfunction("""COMPUTED_VALUE"""),1)</f>
        <v>1</v>
      </c>
      <c r="H434" s="21" t="str">
        <f aca="false">IFERROR(__xludf.dummyfunction("IF(D434,filter(Productos!AC:AC,Productos!A:A=B434),)"),"cocina")</f>
        <v>cocina</v>
      </c>
      <c r="I434" s="24" t="n">
        <f aca="false">IFERROR(__xludf.dummyfunction("""COMPUTED_VALUE"""),9900)</f>
        <v>9900</v>
      </c>
      <c r="K434" s="0" t="str">
        <f aca="false">IF(D434,"{""sku"":"""&amp;B434&amp;""", ""costo"":"&amp;C434&amp;", ""grupo"":"""&amp;A434&amp;""", ""lote"":"&amp;D434&amp;", ""tiempo"":"&amp;E434&amp;", "&amp;F434&amp;", ""vencimiento"":"&amp;G434&amp;IF(I434,", ""precio"":"&amp;I434,)&amp;", ""tipo"":"""&amp;H434&amp;"""},",)</f>
        <v>{"sku":"30002", "costo":10, "grupo":"6", "lote":1, "tiempo":10, "formula":[{"sku":"1307","req":4}], "vencimiento":1, "precio":9900, "tipo":"cocina"},</v>
      </c>
    </row>
    <row r="435" customFormat="false" ht="13" hidden="false" customHeight="false" outlineLevel="0" collapsed="false">
      <c r="A435" s="17" t="n">
        <v>6</v>
      </c>
      <c r="B435" s="0" t="n">
        <f aca="false">IFERROR(__xludf.dummyfunction("""COMPUTED_VALUE"""),30003)</f>
        <v>30003</v>
      </c>
      <c r="C435" s="24" t="n">
        <f aca="false">IFERROR(__xludf.dummyfunction("""COMPUTED_VALUE"""),10)</f>
        <v>10</v>
      </c>
      <c r="D435" s="0" t="n">
        <f aca="false">IFERROR(__xludf.dummyfunction("""COMPUTED_VALUE"""),1)</f>
        <v>1</v>
      </c>
      <c r="E435" s="0" t="n">
        <f aca="false">IFERROR(__xludf.dummyfunction("""COMPUTED_VALUE"""),10)</f>
        <v>10</v>
      </c>
      <c r="F435" s="0" t="str">
        <f aca="false">IFERROR(__xludf.dummyfunction("filter(Formulas!$C:$C,Formulas!$A:$A=B435)"),"""formula"":[{""sku"":""1307"",""req"":5}]")</f>
        <v>"formula":[{"sku":"1307","req":5}]</v>
      </c>
      <c r="G435" s="0" t="n">
        <f aca="false">IFERROR(__xludf.dummyfunction("""COMPUTED_VALUE"""),1)</f>
        <v>1</v>
      </c>
      <c r="H435" s="21" t="str">
        <f aca="false">IFERROR(__xludf.dummyfunction("IF(D435,filter(Productos!AC:AC,Productos!A:A=B435),)"),"cocina")</f>
        <v>cocina</v>
      </c>
      <c r="I435" s="24" t="n">
        <f aca="false">IFERROR(__xludf.dummyfunction("""COMPUTED_VALUE"""),12500)</f>
        <v>12500</v>
      </c>
      <c r="K435" s="0" t="str">
        <f aca="false">IF(D435,"{""sku"":"""&amp;B435&amp;""", ""costo"":"&amp;C435&amp;", ""grupo"":"""&amp;A435&amp;""", ""lote"":"&amp;D435&amp;", ""tiempo"":"&amp;E435&amp;", "&amp;F435&amp;", ""vencimiento"":"&amp;G435&amp;IF(I435,", ""precio"":"&amp;I435,)&amp;", ""tipo"":"""&amp;H435&amp;"""},",)</f>
        <v>{"sku":"30003", "costo":10, "grupo":"6", "lote":1, "tiempo":10, "formula":[{"sku":"1307","req":5}], "vencimiento":1, "precio":12500, "tipo":"cocina"},</v>
      </c>
    </row>
    <row r="436" customFormat="false" ht="13" hidden="false" customHeight="false" outlineLevel="0" collapsed="false">
      <c r="A436" s="16" t="n">
        <v>6</v>
      </c>
      <c r="B436" s="0" t="n">
        <f aca="false">IFERROR(__xludf.dummyfunction("""COMPUTED_VALUE"""),30004)</f>
        <v>30004</v>
      </c>
      <c r="C436" s="24" t="n">
        <f aca="false">IFERROR(__xludf.dummyfunction("""COMPUTED_VALUE"""),10)</f>
        <v>10</v>
      </c>
      <c r="D436" s="0" t="n">
        <f aca="false">IFERROR(__xludf.dummyfunction("""COMPUTED_VALUE"""),1)</f>
        <v>1</v>
      </c>
      <c r="E436" s="0" t="n">
        <f aca="false">IFERROR(__xludf.dummyfunction("""COMPUTED_VALUE"""),10)</f>
        <v>10</v>
      </c>
      <c r="F436" s="0" t="str">
        <f aca="false">IFERROR(__xludf.dummyfunction("filter(Formulas!$C:$C,Formulas!$A:$A=B436)"),"""formula"":[{""sku"":""1309"",""req"":3}]")</f>
        <v>"formula":[{"sku":"1309","req":3}]</v>
      </c>
      <c r="G436" s="0" t="n">
        <f aca="false">IFERROR(__xludf.dummyfunction("""COMPUTED_VALUE"""),1)</f>
        <v>1</v>
      </c>
      <c r="H436" s="21" t="str">
        <f aca="false">IFERROR(__xludf.dummyfunction("IF(D436,filter(Productos!AC:AC,Productos!A:A=B436),)"),"cocina")</f>
        <v>cocina</v>
      </c>
      <c r="I436" s="24" t="n">
        <f aca="false">IFERROR(__xludf.dummyfunction("""COMPUTED_VALUE"""),7900)</f>
        <v>7900</v>
      </c>
      <c r="K436" s="0" t="str">
        <f aca="false">IF(D436,"{""sku"":"""&amp;B436&amp;""", ""costo"":"&amp;C436&amp;", ""grupo"":"""&amp;A436&amp;""", ""lote"":"&amp;D436&amp;", ""tiempo"":"&amp;E436&amp;", "&amp;F436&amp;", ""vencimiento"":"&amp;G436&amp;IF(I436,", ""precio"":"&amp;I436,)&amp;", ""tipo"":"""&amp;H436&amp;"""},",)</f>
        <v>{"sku":"30004", "costo":10, "grupo":"6", "lote":1, "tiempo":10, "formula":[{"sku":"1309","req":3}], "vencimiento":1, "precio":7900, "tipo":"cocina"},</v>
      </c>
    </row>
    <row r="437" customFormat="false" ht="13" hidden="false" customHeight="false" outlineLevel="0" collapsed="false">
      <c r="A437" s="17" t="n">
        <v>6</v>
      </c>
      <c r="B437" s="0" t="n">
        <f aca="false">IFERROR(__xludf.dummyfunction("""COMPUTED_VALUE"""),30005)</f>
        <v>30005</v>
      </c>
      <c r="C437" s="24" t="n">
        <f aca="false">IFERROR(__xludf.dummyfunction("""COMPUTED_VALUE"""),10)</f>
        <v>10</v>
      </c>
      <c r="D437" s="0" t="n">
        <f aca="false">IFERROR(__xludf.dummyfunction("""COMPUTED_VALUE"""),1)</f>
        <v>1</v>
      </c>
      <c r="E437" s="0" t="n">
        <f aca="false">IFERROR(__xludf.dummyfunction("""COMPUTED_VALUE"""),10)</f>
        <v>10</v>
      </c>
      <c r="F437" s="0" t="str">
        <f aca="false">IFERROR(__xludf.dummyfunction("filter(Formulas!$C:$C,Formulas!$A:$A=B437)"),"""formula"":[{""sku"":""1309"",""req"":4}]")</f>
        <v>"formula":[{"sku":"1309","req":4}]</v>
      </c>
      <c r="G437" s="0" t="n">
        <f aca="false">IFERROR(__xludf.dummyfunction("""COMPUTED_VALUE"""),1)</f>
        <v>1</v>
      </c>
      <c r="H437" s="21" t="str">
        <f aca="false">IFERROR(__xludf.dummyfunction("IF(D437,filter(Productos!AC:AC,Productos!A:A=B437),)"),"cocina")</f>
        <v>cocina</v>
      </c>
      <c r="I437" s="24" t="n">
        <f aca="false">IFERROR(__xludf.dummyfunction("""COMPUTED_VALUE"""),9900)</f>
        <v>9900</v>
      </c>
      <c r="K437" s="0" t="str">
        <f aca="false">IF(D437,"{""sku"":"""&amp;B437&amp;""", ""costo"":"&amp;C437&amp;", ""grupo"":"""&amp;A437&amp;""", ""lote"":"&amp;D437&amp;", ""tiempo"":"&amp;E437&amp;", "&amp;F437&amp;", ""vencimiento"":"&amp;G437&amp;IF(I437,", ""precio"":"&amp;I437,)&amp;", ""tipo"":"""&amp;H437&amp;"""},",)</f>
        <v>{"sku":"30005", "costo":10, "grupo":"6", "lote":1, "tiempo":10, "formula":[{"sku":"1309","req":4}], "vencimiento":1, "precio":9900, "tipo":"cocina"},</v>
      </c>
    </row>
    <row r="438" customFormat="false" ht="13" hidden="false" customHeight="false" outlineLevel="0" collapsed="false">
      <c r="A438" s="16" t="n">
        <v>6</v>
      </c>
      <c r="B438" s="0" t="n">
        <f aca="false">IFERROR(__xludf.dummyfunction("""COMPUTED_VALUE"""),30006)</f>
        <v>30006</v>
      </c>
      <c r="C438" s="24" t="n">
        <f aca="false">IFERROR(__xludf.dummyfunction("""COMPUTED_VALUE"""),10)</f>
        <v>10</v>
      </c>
      <c r="D438" s="0" t="n">
        <f aca="false">IFERROR(__xludf.dummyfunction("""COMPUTED_VALUE"""),1)</f>
        <v>1</v>
      </c>
      <c r="E438" s="0" t="n">
        <f aca="false">IFERROR(__xludf.dummyfunction("""COMPUTED_VALUE"""),10)</f>
        <v>10</v>
      </c>
      <c r="F438" s="0" t="str">
        <f aca="false">IFERROR(__xludf.dummyfunction("filter(Formulas!$C:$C,Formulas!$A:$A=B438)"),"""formula"":[{""sku"":""1309"",""req"":5}]")</f>
        <v>"formula":[{"sku":"1309","req":5}]</v>
      </c>
      <c r="G438" s="0" t="n">
        <f aca="false">IFERROR(__xludf.dummyfunction("""COMPUTED_VALUE"""),1)</f>
        <v>1</v>
      </c>
      <c r="H438" s="21" t="str">
        <f aca="false">IFERROR(__xludf.dummyfunction("IF(D438,filter(Productos!AC:AC,Productos!A:A=B438),)"),"cocina")</f>
        <v>cocina</v>
      </c>
      <c r="I438" s="24" t="n">
        <f aca="false">IFERROR(__xludf.dummyfunction("""COMPUTED_VALUE"""),12500)</f>
        <v>12500</v>
      </c>
      <c r="K438" s="0" t="str">
        <f aca="false">IF(D438,"{""sku"":"""&amp;B438&amp;""", ""costo"":"&amp;C438&amp;", ""grupo"":"""&amp;A438&amp;""", ""lote"":"&amp;D438&amp;", ""tiempo"":"&amp;E438&amp;", "&amp;F438&amp;", ""vencimiento"":"&amp;G438&amp;IF(I438,", ""precio"":"&amp;I438,)&amp;", ""tipo"":"""&amp;H438&amp;"""},",)</f>
        <v>{"sku":"30006", "costo":10, "grupo":"6", "lote":1, "tiempo":10, "formula":[{"sku":"1309","req":5}], "vencimiento":1, "precio":12500, "tipo":"cocina"},</v>
      </c>
    </row>
    <row r="439" customFormat="false" ht="13" hidden="false" customHeight="false" outlineLevel="0" collapsed="false">
      <c r="A439" s="17" t="n">
        <v>6</v>
      </c>
      <c r="B439" s="0" t="n">
        <f aca="false">IFERROR(__xludf.dummyfunction("""COMPUTED_VALUE"""),30007)</f>
        <v>30007</v>
      </c>
      <c r="C439" s="24" t="n">
        <f aca="false">IFERROR(__xludf.dummyfunction("""COMPUTED_VALUE"""),10)</f>
        <v>10</v>
      </c>
      <c r="D439" s="0" t="n">
        <f aca="false">IFERROR(__xludf.dummyfunction("""COMPUTED_VALUE"""),1)</f>
        <v>1</v>
      </c>
      <c r="E439" s="0" t="n">
        <f aca="false">IFERROR(__xludf.dummyfunction("""COMPUTED_VALUE"""),10)</f>
        <v>10</v>
      </c>
      <c r="F439" s="0" t="str">
        <f aca="false">IFERROR(__xludf.dummyfunction("filter(Formulas!$C:$C,Formulas!$A:$A=B439)"),"""formula"":[{""sku"":""1309"",""req"":2},{""sku"":""1307"",""req"":2}]")</f>
        <v>"formula":[{"sku":"1309","req":2},{"sku":"1307","req":2}]</v>
      </c>
      <c r="G439" s="0" t="n">
        <f aca="false">IFERROR(__xludf.dummyfunction("""COMPUTED_VALUE"""),1)</f>
        <v>1</v>
      </c>
      <c r="H439" s="21" t="str">
        <f aca="false">IFERROR(__xludf.dummyfunction("IF(D439,filter(Productos!AC:AC,Productos!A:A=B439),)"),"cocina")</f>
        <v>cocina</v>
      </c>
      <c r="I439" s="24" t="n">
        <f aca="false">IFERROR(__xludf.dummyfunction("""COMPUTED_VALUE"""),9900)</f>
        <v>9900</v>
      </c>
      <c r="K439" s="0" t="str">
        <f aca="false">IF(D439,"{""sku"":"""&amp;B439&amp;""", ""costo"":"&amp;C439&amp;", ""grupo"":"""&amp;A439&amp;""", ""lote"":"&amp;D439&amp;", ""tiempo"":"&amp;E439&amp;", "&amp;F439&amp;", ""vencimiento"":"&amp;G439&amp;IF(I439,", ""precio"":"&amp;I439,)&amp;", ""tipo"":"""&amp;H439&amp;"""},",)</f>
        <v>{"sku":"30007", "costo":10, "grupo":"6", "lote":1, "tiempo":10, "formula":[{"sku":"1309","req":2},{"sku":"1307","req":2}], "vencimiento":1, "precio":9900, "tipo":"cocina"},</v>
      </c>
    </row>
    <row r="440" customFormat="false" ht="13" hidden="false" customHeight="false" outlineLevel="0" collapsed="false">
      <c r="A440" s="16" t="n">
        <v>6</v>
      </c>
      <c r="B440" s="0" t="n">
        <f aca="false">IFERROR(__xludf.dummyfunction("""COMPUTED_VALUE"""),30008)</f>
        <v>30008</v>
      </c>
      <c r="C440" s="24" t="n">
        <f aca="false">IFERROR(__xludf.dummyfunction("""COMPUTED_VALUE"""),10)</f>
        <v>10</v>
      </c>
      <c r="D440" s="0" t="n">
        <f aca="false">IFERROR(__xludf.dummyfunction("""COMPUTED_VALUE"""),1)</f>
        <v>1</v>
      </c>
      <c r="E440" s="0" t="n">
        <f aca="false">IFERROR(__xludf.dummyfunction("""COMPUTED_VALUE"""),10)</f>
        <v>10</v>
      </c>
      <c r="F440" s="0" t="str">
        <f aca="false">IFERROR(__xludf.dummyfunction("filter(Formulas!$C:$C,Formulas!$A:$A=B440)"),"""formula"":[{""sku"":""1309"",""req"":3},{""sku"":""1307"",""req"":3}]")</f>
        <v>"formula":[{"sku":"1309","req":3},{"sku":"1307","req":3}]</v>
      </c>
      <c r="G440" s="0" t="n">
        <f aca="false">IFERROR(__xludf.dummyfunction("""COMPUTED_VALUE"""),1)</f>
        <v>1</v>
      </c>
      <c r="H440" s="21" t="str">
        <f aca="false">IFERROR(__xludf.dummyfunction("IF(D440,filter(Productos!AC:AC,Productos!A:A=B440),)"),"cocina")</f>
        <v>cocina</v>
      </c>
      <c r="I440" s="24" t="n">
        <f aca="false">IFERROR(__xludf.dummyfunction("""COMPUTED_VALUE"""),15990)</f>
        <v>15990</v>
      </c>
      <c r="K440" s="0" t="str">
        <f aca="false">IF(D440,"{""sku"":"""&amp;B440&amp;""", ""costo"":"&amp;C440&amp;", ""grupo"":"""&amp;A440&amp;""", ""lote"":"&amp;D440&amp;", ""tiempo"":"&amp;E440&amp;", "&amp;F440&amp;", ""vencimiento"":"&amp;G440&amp;IF(I440,", ""precio"":"&amp;I440,)&amp;", ""tipo"":"""&amp;H440&amp;"""},",)</f>
        <v>{"sku":"30008", "costo":10, "grupo":"6", "lote":1, "tiempo":10, "formula":[{"sku":"1309","req":3},{"sku":"1307","req":3}], "vencimiento":1, "precio":15990, "tipo":"cocina"},</v>
      </c>
    </row>
    <row r="441" customFormat="false" ht="13" hidden="false" customHeight="false" outlineLevel="0" collapsed="false">
      <c r="H441" s="21" t="str">
        <f aca="false">IFERROR(__xludf.dummyfunction("IF(D441,filter(Productos!AC:AC,Productos!A:A=B441),)"),"")</f>
        <v/>
      </c>
      <c r="K441" s="0" t="n">
        <f aca="false">IF(D441,"{""sku"":"""&amp;B441&amp;""", ""costo"":"&amp;C441&amp;", ""grupo"":"""&amp;A441&amp;""", ""lote"":"&amp;D441&amp;", ""tiempo"":"&amp;E441&amp;", "&amp;F441&amp;", ""vencimiento"":"&amp;G441&amp;IF(I441,", ""precio"":"&amp;I441,)&amp;", ""tipo"":"""&amp;H441&amp;"""},",)</f>
        <v>0</v>
      </c>
    </row>
    <row r="442" customFormat="false" ht="13" hidden="false" customHeight="false" outlineLevel="0" collapsed="false">
      <c r="A442" s="22" t="s">
        <v>250</v>
      </c>
      <c r="B442" s="16" t="s">
        <v>251</v>
      </c>
      <c r="C442" s="16"/>
      <c r="D442" s="16"/>
      <c r="E442" s="16"/>
      <c r="F442" s="16"/>
      <c r="G442" s="25"/>
      <c r="H442" s="21" t="str">
        <f aca="false">IFERROR(__xludf.dummyfunction("IF(D442,filter(Productos!AC:AC,Productos!A:A=B442),)"),"")</f>
        <v/>
      </c>
      <c r="K442" s="0" t="n">
        <f aca="false">IF(D442,"{""sku"":"""&amp;B442&amp;""", ""costo"":"&amp;C442&amp;", ""grupo"":"""&amp;A442&amp;""", ""lote"":"&amp;D442&amp;", ""tiempo"":"&amp;E442&amp;", "&amp;F442&amp;", ""vencimiento"":"&amp;G442&amp;IF(I442,", ""precio"":"&amp;I442,)&amp;", ""tipo"":"""&amp;H442&amp;"""},",)</f>
        <v>0</v>
      </c>
    </row>
    <row r="443" customFormat="false" ht="13" hidden="false" customHeight="false" outlineLevel="0" collapsed="false">
      <c r="A443" s="17" t="n">
        <v>7</v>
      </c>
      <c r="B443" s="17" t="n">
        <f aca="false">IFERROR(__xludf.dummyfunction("filter(Productos!$A$2:$A1017,INDIRECT(B442))"),1001)</f>
        <v>1001</v>
      </c>
      <c r="C443" s="24" t="n">
        <f aca="false">IFERROR(__xludf.dummyfunction("filter(Productos!$D$2:$D1017,INDIRECT(B442))"),3000)</f>
        <v>3000</v>
      </c>
      <c r="D443" s="17" t="n">
        <f aca="false">IFERROR(__xludf.dummyfunction("filter(Productos!$K$2:$L1017,INDIRECT(B442))"),10)</f>
        <v>10</v>
      </c>
      <c r="E443" s="17" t="n">
        <f aca="false">IFERROR(__xludf.dummyfunction("""COMPUTED_VALUE"""),240)</f>
        <v>240</v>
      </c>
      <c r="F443" s="16" t="str">
        <f aca="false">IFERROR(__xludf.dummyfunction("filter(Formulas!$C:$C,Formulas!$A:$A=B443)"),"""formula"":null")</f>
        <v>"formula":null</v>
      </c>
      <c r="G443" s="26" t="n">
        <f aca="false">IFERROR(__xludf.dummyfunction("filter(Productos!$H$2:$H1017,INDIRECT(B442))"),720)</f>
        <v>720</v>
      </c>
      <c r="H443" s="21" t="str">
        <f aca="false">IFERROR(__xludf.dummyfunction("IF(D443,filter(Productos!AC:AC,Productos!A:A=B443),)"),"fabrica")</f>
        <v>fabrica</v>
      </c>
      <c r="I443" s="24" t="str">
        <f aca="false">IFERROR(__xludf.dummyfunction("filter(Productos!$E$2:$E1017,INDIRECT(B442))"),"")</f>
        <v/>
      </c>
      <c r="K443" s="0" t="e">
        <f aca="false">IF(D443,"{""sku"":"""&amp;B443&amp;""", ""costo"":"&amp;C443&amp;", ""grupo"":"""&amp;A443&amp;""", ""lote"":"&amp;D443&amp;", ""tiempo"":"&amp;E443&amp;", "&amp;F443&amp;", ""vencimiento"":"&amp;G443&amp;IF(I443,", ""precio"":"&amp;I443,)&amp;", ""tipo"":"""&amp;H443&amp;"""},",)</f>
        <v>#VALUE!</v>
      </c>
    </row>
    <row r="444" customFormat="false" ht="13" hidden="false" customHeight="false" outlineLevel="0" collapsed="false">
      <c r="A444" s="16" t="n">
        <v>7</v>
      </c>
      <c r="B444" s="0" t="n">
        <f aca="false">IFERROR(__xludf.dummyfunction("""COMPUTED_VALUE"""),1003)</f>
        <v>1003</v>
      </c>
      <c r="C444" s="24" t="n">
        <f aca="false">IFERROR(__xludf.dummyfunction("""COMPUTED_VALUE"""),1290)</f>
        <v>1290</v>
      </c>
      <c r="D444" s="0" t="n">
        <f aca="false">IFERROR(__xludf.dummyfunction("""COMPUTED_VALUE"""),100)</f>
        <v>100</v>
      </c>
      <c r="E444" s="0" t="n">
        <f aca="false">IFERROR(__xludf.dummyfunction("""COMPUTED_VALUE"""),320)</f>
        <v>320</v>
      </c>
      <c r="F444" s="0" t="str">
        <f aca="false">IFERROR(__xludf.dummyfunction("filter(Formulas!$C:$C,Formulas!$A:$A=B444)"),"""formula"":null")</f>
        <v>"formula":null</v>
      </c>
      <c r="G444" s="0" t="n">
        <f aca="false">IFERROR(__xludf.dummyfunction("""COMPUTED_VALUE"""),720)</f>
        <v>720</v>
      </c>
      <c r="H444" s="21" t="str">
        <f aca="false">IFERROR(__xludf.dummyfunction("IF(D444,filter(Productos!AC:AC,Productos!A:A=B444),)"),"fabrica")</f>
        <v>fabrica</v>
      </c>
      <c r="I444" s="24" t="str">
        <f aca="false">IFERROR(__xludf.dummyfunction("""COMPUTED_VALUE"""),"")</f>
        <v/>
      </c>
      <c r="K444" s="0" t="e">
        <f aca="false">IF(D444,"{""sku"":"""&amp;B444&amp;""", ""costo"":"&amp;C444&amp;", ""grupo"":"""&amp;A444&amp;""", ""lote"":"&amp;D444&amp;", ""tiempo"":"&amp;E444&amp;", "&amp;F444&amp;", ""vencimiento"":"&amp;G444&amp;IF(I444,", ""precio"":"&amp;I444,)&amp;", ""tipo"":"""&amp;H444&amp;"""},",)</f>
        <v>#VALUE!</v>
      </c>
    </row>
    <row r="445" customFormat="false" ht="13" hidden="false" customHeight="false" outlineLevel="0" collapsed="false">
      <c r="A445" s="17" t="n">
        <v>7</v>
      </c>
      <c r="B445" s="0" t="n">
        <f aca="false">IFERROR(__xludf.dummyfunction("""COMPUTED_VALUE"""),1006)</f>
        <v>1006</v>
      </c>
      <c r="C445" s="24" t="n">
        <f aca="false">IFERROR(__xludf.dummyfunction("""COMPUTED_VALUE"""),15990)</f>
        <v>15990</v>
      </c>
      <c r="D445" s="0" t="n">
        <f aca="false">IFERROR(__xludf.dummyfunction("""COMPUTED_VALUE"""),1)</f>
        <v>1</v>
      </c>
      <c r="E445" s="0" t="n">
        <f aca="false">IFERROR(__xludf.dummyfunction("""COMPUTED_VALUE"""),120)</f>
        <v>120</v>
      </c>
      <c r="F445" s="0" t="str">
        <f aca="false">IFERROR(__xludf.dummyfunction("filter(Formulas!$C:$C,Formulas!$A:$A=B445)"),"""formula"":null")</f>
        <v>"formula":null</v>
      </c>
      <c r="G445" s="0" t="n">
        <f aca="false">IFERROR(__xludf.dummyfunction("""COMPUTED_VALUE"""),720)</f>
        <v>720</v>
      </c>
      <c r="H445" s="21" t="str">
        <f aca="false">IFERROR(__xludf.dummyfunction("IF(D445,filter(Productos!AC:AC,Productos!A:A=B445),)"),"fabrica")</f>
        <v>fabrica</v>
      </c>
      <c r="I445" s="24" t="str">
        <f aca="false">IFERROR(__xludf.dummyfunction("""COMPUTED_VALUE"""),"")</f>
        <v/>
      </c>
      <c r="K445" s="0" t="e">
        <f aca="false">IF(D445,"{""sku"":"""&amp;B445&amp;""", ""costo"":"&amp;C445&amp;", ""grupo"":"""&amp;A445&amp;""", ""lote"":"&amp;D445&amp;", ""tiempo"":"&amp;E445&amp;", "&amp;F445&amp;", ""vencimiento"":"&amp;G445&amp;IF(I445,", ""precio"":"&amp;I445,)&amp;", ""tipo"":"""&amp;H445&amp;"""},",)</f>
        <v>#VALUE!</v>
      </c>
    </row>
    <row r="446" customFormat="false" ht="13" hidden="false" customHeight="false" outlineLevel="0" collapsed="false">
      <c r="A446" s="16" t="n">
        <v>7</v>
      </c>
      <c r="B446" s="0" t="n">
        <f aca="false">IFERROR(__xludf.dummyfunction("""COMPUTED_VALUE"""),1007)</f>
        <v>1007</v>
      </c>
      <c r="C446" s="24" t="n">
        <f aca="false">IFERROR(__xludf.dummyfunction("""COMPUTED_VALUE"""),32990)</f>
        <v>32990</v>
      </c>
      <c r="D446" s="0" t="n">
        <f aca="false">IFERROR(__xludf.dummyfunction("""COMPUTED_VALUE"""),8)</f>
        <v>8</v>
      </c>
      <c r="E446" s="0" t="n">
        <f aca="false">IFERROR(__xludf.dummyfunction("""COMPUTED_VALUE"""),300)</f>
        <v>300</v>
      </c>
      <c r="F446" s="0" t="str">
        <f aca="false">IFERROR(__xludf.dummyfunction("filter(Formulas!$C:$C,Formulas!$A:$A=B446)"),"""formula"":null")</f>
        <v>"formula":null</v>
      </c>
      <c r="G446" s="0" t="n">
        <f aca="false">IFERROR(__xludf.dummyfunction("""COMPUTED_VALUE"""),20)</f>
        <v>20</v>
      </c>
      <c r="H446" s="21" t="str">
        <f aca="false">IFERROR(__xludf.dummyfunction("IF(D446,filter(Productos!AC:AC,Productos!A:A=B446),)"),"fabrica")</f>
        <v>fabrica</v>
      </c>
      <c r="I446" s="24" t="str">
        <f aca="false">IFERROR(__xludf.dummyfunction("""COMPUTED_VALUE"""),"")</f>
        <v/>
      </c>
      <c r="K446" s="0" t="e">
        <f aca="false">IF(D446,"{""sku"":"""&amp;B446&amp;""", ""costo"":"&amp;C446&amp;", ""grupo"":"""&amp;A446&amp;""", ""lote"":"&amp;D446&amp;", ""tiempo"":"&amp;E446&amp;", "&amp;F446&amp;", ""vencimiento"":"&amp;G446&amp;IF(I446,", ""precio"":"&amp;I446,)&amp;", ""tipo"":"""&amp;H446&amp;"""},",)</f>
        <v>#VALUE!</v>
      </c>
    </row>
    <row r="447" customFormat="false" ht="13" hidden="false" customHeight="false" outlineLevel="0" collapsed="false">
      <c r="A447" s="17" t="n">
        <v>7</v>
      </c>
      <c r="B447" s="0" t="n">
        <f aca="false">IFERROR(__xludf.dummyfunction("""COMPUTED_VALUE"""),1008)</f>
        <v>1008</v>
      </c>
      <c r="C447" s="24" t="n">
        <f aca="false">IFERROR(__xludf.dummyfunction("""COMPUTED_VALUE"""),21990)</f>
        <v>21990</v>
      </c>
      <c r="D447" s="0" t="n">
        <f aca="false">IFERROR(__xludf.dummyfunction("""COMPUTED_VALUE"""),10)</f>
        <v>10</v>
      </c>
      <c r="E447" s="0" t="n">
        <f aca="false">IFERROR(__xludf.dummyfunction("""COMPUTED_VALUE"""),220)</f>
        <v>220</v>
      </c>
      <c r="F447" s="0" t="str">
        <f aca="false">IFERROR(__xludf.dummyfunction("filter(Formulas!$C:$C,Formulas!$A:$A=B447)"),"""formula"":null")</f>
        <v>"formula":null</v>
      </c>
      <c r="G447" s="0" t="n">
        <f aca="false">IFERROR(__xludf.dummyfunction("""COMPUTED_VALUE"""),48)</f>
        <v>48</v>
      </c>
      <c r="H447" s="21" t="str">
        <f aca="false">IFERROR(__xludf.dummyfunction("IF(D447,filter(Productos!AC:AC,Productos!A:A=B447),)"),"fabrica")</f>
        <v>fabrica</v>
      </c>
      <c r="I447" s="24" t="str">
        <f aca="false">IFERROR(__xludf.dummyfunction("""COMPUTED_VALUE"""),"")</f>
        <v/>
      </c>
      <c r="K447" s="0" t="e">
        <f aca="false">IF(D447,"{""sku"":"""&amp;B447&amp;""", ""costo"":"&amp;C447&amp;", ""grupo"":"""&amp;A447&amp;""", ""lote"":"&amp;D447&amp;", ""tiempo"":"&amp;E447&amp;", "&amp;F447&amp;", ""vencimiento"":"&amp;G447&amp;IF(I447,", ""precio"":"&amp;I447,)&amp;", ""tipo"":"""&amp;H447&amp;"""},",)</f>
        <v>#VALUE!</v>
      </c>
    </row>
    <row r="448" customFormat="false" ht="13" hidden="false" customHeight="false" outlineLevel="0" collapsed="false">
      <c r="A448" s="16" t="n">
        <v>7</v>
      </c>
      <c r="B448" s="0" t="n">
        <f aca="false">IFERROR(__xludf.dummyfunction("""COMPUTED_VALUE"""),1011)</f>
        <v>1011</v>
      </c>
      <c r="C448" s="24" t="n">
        <f aca="false">IFERROR(__xludf.dummyfunction("""COMPUTED_VALUE"""),990)</f>
        <v>990</v>
      </c>
      <c r="D448" s="0" t="n">
        <f aca="false">IFERROR(__xludf.dummyfunction("""COMPUTED_VALUE"""),4)</f>
        <v>4</v>
      </c>
      <c r="E448" s="0" t="n">
        <f aca="false">IFERROR(__xludf.dummyfunction("""COMPUTED_VALUE"""),120)</f>
        <v>120</v>
      </c>
      <c r="F448" s="0" t="str">
        <f aca="false">IFERROR(__xludf.dummyfunction("filter(Formulas!$C:$C,Formulas!$A:$A=B448)"),"""formula"":null")</f>
        <v>"formula":null</v>
      </c>
      <c r="G448" s="0" t="n">
        <f aca="false">IFERROR(__xludf.dummyfunction("""COMPUTED_VALUE"""),168)</f>
        <v>168</v>
      </c>
      <c r="H448" s="21" t="str">
        <f aca="false">IFERROR(__xludf.dummyfunction("IF(D448,filter(Productos!AC:AC,Productos!A:A=B448),)"),"fabrica")</f>
        <v>fabrica</v>
      </c>
      <c r="I448" s="24" t="str">
        <f aca="false">IFERROR(__xludf.dummyfunction("""COMPUTED_VALUE"""),"")</f>
        <v/>
      </c>
      <c r="K448" s="0" t="e">
        <f aca="false">IF(D448,"{""sku"":"""&amp;B448&amp;""", ""costo"":"&amp;C448&amp;", ""grupo"":"""&amp;A448&amp;""", ""lote"":"&amp;D448&amp;", ""tiempo"":"&amp;E448&amp;", "&amp;F448&amp;", ""vencimiento"":"&amp;G448&amp;IF(I448,", ""precio"":"&amp;I448,)&amp;", ""tipo"":"""&amp;H448&amp;"""},",)</f>
        <v>#VALUE!</v>
      </c>
    </row>
    <row r="449" customFormat="false" ht="13" hidden="false" customHeight="false" outlineLevel="0" collapsed="false">
      <c r="A449" s="17" t="n">
        <v>7</v>
      </c>
      <c r="B449" s="0" t="n">
        <f aca="false">IFERROR(__xludf.dummyfunction("""COMPUTED_VALUE"""),1013)</f>
        <v>1013</v>
      </c>
      <c r="C449" s="24" t="n">
        <f aca="false">IFERROR(__xludf.dummyfunction("""COMPUTED_VALUE"""),1400)</f>
        <v>1400</v>
      </c>
      <c r="D449" s="0" t="n">
        <f aca="false">IFERROR(__xludf.dummyfunction("""COMPUTED_VALUE"""),10)</f>
        <v>10</v>
      </c>
      <c r="E449" s="0" t="n">
        <f aca="false">IFERROR(__xludf.dummyfunction("""COMPUTED_VALUE"""),320)</f>
        <v>320</v>
      </c>
      <c r="F449" s="0" t="str">
        <f aca="false">IFERROR(__xludf.dummyfunction("filter(Formulas!$C:$C,Formulas!$A:$A=B449)"),"""formula"":null")</f>
        <v>"formula":null</v>
      </c>
      <c r="G449" s="0" t="n">
        <f aca="false">IFERROR(__xludf.dummyfunction("""COMPUTED_VALUE"""),12)</f>
        <v>12</v>
      </c>
      <c r="H449" s="21" t="str">
        <f aca="false">IFERROR(__xludf.dummyfunction("IF(D449,filter(Productos!AC:AC,Productos!A:A=B449),)"),"fabrica")</f>
        <v>fabrica</v>
      </c>
      <c r="I449" s="24" t="str">
        <f aca="false">IFERROR(__xludf.dummyfunction("""COMPUTED_VALUE"""),"")</f>
        <v/>
      </c>
      <c r="K449" s="0" t="e">
        <f aca="false">IF(D449,"{""sku"":"""&amp;B449&amp;""", ""costo"":"&amp;C449&amp;", ""grupo"":"""&amp;A449&amp;""", ""lote"":"&amp;D449&amp;", ""tiempo"":"&amp;E449&amp;", "&amp;F449&amp;", ""vencimiento"":"&amp;G449&amp;IF(I449,", ""precio"":"&amp;I449,)&amp;", ""tipo"":"""&amp;H449&amp;"""},",)</f>
        <v>#VALUE!</v>
      </c>
    </row>
    <row r="450" customFormat="false" ht="13" hidden="false" customHeight="false" outlineLevel="0" collapsed="false">
      <c r="A450" s="16" t="n">
        <v>7</v>
      </c>
      <c r="B450" s="0" t="n">
        <f aca="false">IFERROR(__xludf.dummyfunction("""COMPUTED_VALUE"""),1016)</f>
        <v>1016</v>
      </c>
      <c r="C450" s="24" t="n">
        <f aca="false">IFERROR(__xludf.dummyfunction("""COMPUTED_VALUE"""),2790)</f>
        <v>2790</v>
      </c>
      <c r="D450" s="0" t="n">
        <f aca="false">IFERROR(__xludf.dummyfunction("""COMPUTED_VALUE"""),8)</f>
        <v>8</v>
      </c>
      <c r="E450" s="0" t="n">
        <f aca="false">IFERROR(__xludf.dummyfunction("""COMPUTED_VALUE"""),600)</f>
        <v>600</v>
      </c>
      <c r="F450" s="0" t="str">
        <f aca="false">IFERROR(__xludf.dummyfunction("filter(Formulas!$C:$C,Formulas!$A:$A=B450)"),"""formula"":null")</f>
        <v>"formula":null</v>
      </c>
      <c r="G450" s="0" t="n">
        <f aca="false">IFERROR(__xludf.dummyfunction("""COMPUTED_VALUE"""),240)</f>
        <v>240</v>
      </c>
      <c r="H450" s="21" t="str">
        <f aca="false">IFERROR(__xludf.dummyfunction("IF(D450,filter(Productos!AC:AC,Productos!A:A=B450),)"),"fabrica")</f>
        <v>fabrica</v>
      </c>
      <c r="I450" s="0" t="str">
        <f aca="false">IFERROR(__xludf.dummyfunction("""COMPUTED_VALUE"""),"")</f>
        <v/>
      </c>
      <c r="K450" s="0" t="e">
        <f aca="false">IF(D450,"{""sku"":"""&amp;B450&amp;""", ""costo"":"&amp;C450&amp;", ""grupo"":"""&amp;A450&amp;""", ""lote"":"&amp;D450&amp;", ""tiempo"":"&amp;E450&amp;", "&amp;F450&amp;", ""vencimiento"":"&amp;G450&amp;IF(I450,", ""precio"":"&amp;I450,)&amp;", ""tipo"":"""&amp;H450&amp;"""},",)</f>
        <v>#VALUE!</v>
      </c>
    </row>
    <row r="451" customFormat="false" ht="13" hidden="false" customHeight="false" outlineLevel="0" collapsed="false">
      <c r="A451" s="17" t="n">
        <v>7</v>
      </c>
      <c r="B451" s="0" t="n">
        <f aca="false">IFERROR(__xludf.dummyfunction("""COMPUTED_VALUE"""),1101)</f>
        <v>1101</v>
      </c>
      <c r="C451" s="24" t="n">
        <f aca="false">IFERROR(__xludf.dummyfunction("""COMPUTED_VALUE"""),500)</f>
        <v>500</v>
      </c>
      <c r="D451" s="0" t="n">
        <f aca="false">IFERROR(__xludf.dummyfunction("""COMPUTED_VALUE"""),10)</f>
        <v>10</v>
      </c>
      <c r="E451" s="0" t="n">
        <f aca="false">IFERROR(__xludf.dummyfunction("""COMPUTED_VALUE"""),40)</f>
        <v>40</v>
      </c>
      <c r="F451" s="0" t="str">
        <f aca="false">IFERROR(__xludf.dummyfunction("filter(Formulas!$C:$C,Formulas!$A:$A=B451)"),"""formula"":[{""sku"":""1001"",""req"":8},{""sku"":""1003"",""req"":3},{""sku"":""1004"",""req"":2},{""sku"":""1002"",""req"":4}]")</f>
        <v>"formula":[{"sku":"1001","req":8},{"sku":"1003","req":3},{"sku":"1004","req":2},{"sku":"1002","req":4}]</v>
      </c>
      <c r="G451" s="0" t="n">
        <f aca="false">IFERROR(__xludf.dummyfunction("""COMPUTED_VALUE"""),3)</f>
        <v>3</v>
      </c>
      <c r="H451" s="21" t="str">
        <f aca="false">IFERROR(__xludf.dummyfunction("IF(D451,filter(Productos!AC:AC,Productos!A:A=B451),)"),"fabrica")</f>
        <v>fabrica</v>
      </c>
      <c r="I451" s="24" t="str">
        <f aca="false">IFERROR(__xludf.dummyfunction("""COMPUTED_VALUE"""),"")</f>
        <v/>
      </c>
      <c r="K451" s="0" t="e">
        <f aca="false">IF(D451,"{""sku"":"""&amp;B451&amp;""", ""costo"":"&amp;C451&amp;", ""grupo"":"""&amp;A451&amp;""", ""lote"":"&amp;D451&amp;", ""tiempo"":"&amp;E451&amp;", "&amp;F451&amp;", ""vencimiento"":"&amp;G451&amp;IF(I451,", ""precio"":"&amp;I451,)&amp;", ""tipo"":"""&amp;H451&amp;"""},",)</f>
        <v>#VALUE!</v>
      </c>
    </row>
    <row r="452" customFormat="false" ht="13" hidden="false" customHeight="false" outlineLevel="0" collapsed="false">
      <c r="A452" s="16" t="n">
        <v>7</v>
      </c>
      <c r="B452" s="0" t="n">
        <f aca="false">IFERROR(__xludf.dummyfunction("""COMPUTED_VALUE"""),1105)</f>
        <v>1105</v>
      </c>
      <c r="C452" s="24" t="n">
        <f aca="false">IFERROR(__xludf.dummyfunction("""COMPUTED_VALUE"""),10)</f>
        <v>10</v>
      </c>
      <c r="D452" s="0" t="n">
        <f aca="false">IFERROR(__xludf.dummyfunction("""COMPUTED_VALUE"""),10)</f>
        <v>10</v>
      </c>
      <c r="E452" s="0" t="n">
        <f aca="false">IFERROR(__xludf.dummyfunction("""COMPUTED_VALUE"""),10)</f>
        <v>10</v>
      </c>
      <c r="F452" s="0" t="str">
        <f aca="false">IFERROR(__xludf.dummyfunction("filter(Formulas!$C:$C,Formulas!$A:$A=B452)"),"""formula"":[{""sku"":""1005"",""req"":1}]")</f>
        <v>"formula":[{"sku":"1005","req":1}]</v>
      </c>
      <c r="G452" s="0" t="n">
        <f aca="false">IFERROR(__xludf.dummyfunction("""COMPUTED_VALUE"""),3)</f>
        <v>3</v>
      </c>
      <c r="H452" s="21" t="str">
        <f aca="false">IFERROR(__xludf.dummyfunction("IF(D452,filter(Productos!AC:AC,Productos!A:A=B452),)"),"fabrica")</f>
        <v>fabrica</v>
      </c>
      <c r="I452" s="24" t="str">
        <f aca="false">IFERROR(__xludf.dummyfunction("""COMPUTED_VALUE"""),"")</f>
        <v/>
      </c>
      <c r="K452" s="0" t="e">
        <f aca="false">IF(D452,"{""sku"":"""&amp;B452&amp;""", ""costo"":"&amp;C452&amp;", ""grupo"":"""&amp;A452&amp;""", ""lote"":"&amp;D452&amp;", ""tiempo"":"&amp;E452&amp;", "&amp;F452&amp;", ""vencimiento"":"&amp;G452&amp;IF(I452,", ""precio"":"&amp;I452,)&amp;", ""tipo"":"""&amp;H452&amp;"""},",)</f>
        <v>#VALUE!</v>
      </c>
    </row>
    <row r="453" customFormat="false" ht="13" hidden="false" customHeight="false" outlineLevel="0" collapsed="false">
      <c r="A453" s="17" t="n">
        <v>7</v>
      </c>
      <c r="B453" s="0" t="n">
        <f aca="false">IFERROR(__xludf.dummyfunction("""COMPUTED_VALUE"""),1106)</f>
        <v>1106</v>
      </c>
      <c r="C453" s="24" t="n">
        <f aca="false">IFERROR(__xludf.dummyfunction("""COMPUTED_VALUE"""),700)</f>
        <v>700</v>
      </c>
      <c r="D453" s="0" t="n">
        <f aca="false">IFERROR(__xludf.dummyfunction("""COMPUTED_VALUE"""),100)</f>
        <v>100</v>
      </c>
      <c r="E453" s="0" t="n">
        <f aca="false">IFERROR(__xludf.dummyfunction("""COMPUTED_VALUE"""),30)</f>
        <v>30</v>
      </c>
      <c r="F453" s="0" t="str">
        <f aca="false">IFERROR(__xludf.dummyfunction("filter(Formulas!$C:$C,Formulas!$A:$A=B453)"),"""formula"":[{""sku"":""1006"",""req"":1}]")</f>
        <v>"formula":[{"sku":"1006","req":1}]</v>
      </c>
      <c r="G453" s="0" t="n">
        <f aca="false">IFERROR(__xludf.dummyfunction("""COMPUTED_VALUE"""),4)</f>
        <v>4</v>
      </c>
      <c r="H453" s="21" t="str">
        <f aca="false">IFERROR(__xludf.dummyfunction("IF(D453,filter(Productos!AC:AC,Productos!A:A=B453),)"),"fabrica")</f>
        <v>fabrica</v>
      </c>
      <c r="I453" s="24" t="str">
        <f aca="false">IFERROR(__xludf.dummyfunction("""COMPUTED_VALUE"""),"")</f>
        <v/>
      </c>
      <c r="K453" s="0" t="e">
        <f aca="false">IF(D453,"{""sku"":"""&amp;B453&amp;""", ""costo"":"&amp;C453&amp;", ""grupo"":"""&amp;A453&amp;""", ""lote"":"&amp;D453&amp;", ""tiempo"":"&amp;E453&amp;", "&amp;F453&amp;", ""vencimiento"":"&amp;G453&amp;IF(I453,", ""precio"":"&amp;I453,)&amp;", ""tipo"":"""&amp;H453&amp;"""},",)</f>
        <v>#VALUE!</v>
      </c>
    </row>
    <row r="454" customFormat="false" ht="13" hidden="false" customHeight="false" outlineLevel="0" collapsed="false">
      <c r="A454" s="16" t="n">
        <v>7</v>
      </c>
      <c r="B454" s="0" t="n">
        <f aca="false">IFERROR(__xludf.dummyfunction("""COMPUTED_VALUE"""),1107)</f>
        <v>1107</v>
      </c>
      <c r="C454" s="24" t="n">
        <f aca="false">IFERROR(__xludf.dummyfunction("""COMPUTED_VALUE"""),10)</f>
        <v>10</v>
      </c>
      <c r="D454" s="0" t="n">
        <f aca="false">IFERROR(__xludf.dummyfunction("""COMPUTED_VALUE"""),11)</f>
        <v>11</v>
      </c>
      <c r="E454" s="0" t="n">
        <f aca="false">IFERROR(__xludf.dummyfunction("""COMPUTED_VALUE"""),20)</f>
        <v>20</v>
      </c>
      <c r="F454" s="0" t="str">
        <f aca="false">IFERROR(__xludf.dummyfunction("filter(Formulas!$C:$C,Formulas!$A:$A=B454)"),"""formula"":[{""sku"":""1007"",""req"":1}]")</f>
        <v>"formula":[{"sku":"1007","req":1}]</v>
      </c>
      <c r="G454" s="0" t="n">
        <f aca="false">IFERROR(__xludf.dummyfunction("""COMPUTED_VALUE"""),2)</f>
        <v>2</v>
      </c>
      <c r="H454" s="21" t="str">
        <f aca="false">IFERROR(__xludf.dummyfunction("IF(D454,filter(Productos!AC:AC,Productos!A:A=B454),)"),"fabrica")</f>
        <v>fabrica</v>
      </c>
      <c r="I454" s="24" t="str">
        <f aca="false">IFERROR(__xludf.dummyfunction("""COMPUTED_VALUE"""),"")</f>
        <v/>
      </c>
      <c r="K454" s="0" t="e">
        <f aca="false">IF(D454,"{""sku"":"""&amp;B454&amp;""", ""costo"":"&amp;C454&amp;", ""grupo"":"""&amp;A454&amp;""", ""lote"":"&amp;D454&amp;", ""tiempo"":"&amp;E454&amp;", "&amp;F454&amp;", ""vencimiento"":"&amp;G454&amp;IF(I454,", ""precio"":"&amp;I454,)&amp;", ""tipo"":"""&amp;H454&amp;"""},",)</f>
        <v>#VALUE!</v>
      </c>
    </row>
    <row r="455" customFormat="false" ht="13" hidden="false" customHeight="false" outlineLevel="0" collapsed="false">
      <c r="A455" s="17" t="n">
        <v>7</v>
      </c>
      <c r="B455" s="0" t="n">
        <f aca="false">IFERROR(__xludf.dummyfunction("""COMPUTED_VALUE"""),1108)</f>
        <v>1108</v>
      </c>
      <c r="C455" s="24" t="n">
        <f aca="false">IFERROR(__xludf.dummyfunction("""COMPUTED_VALUE"""),10)</f>
        <v>10</v>
      </c>
      <c r="D455" s="0" t="n">
        <f aca="false">IFERROR(__xludf.dummyfunction("""COMPUTED_VALUE"""),6)</f>
        <v>6</v>
      </c>
      <c r="E455" s="0" t="n">
        <f aca="false">IFERROR(__xludf.dummyfunction("""COMPUTED_VALUE"""),20)</f>
        <v>20</v>
      </c>
      <c r="F455" s="0" t="str">
        <f aca="false">IFERROR(__xludf.dummyfunction("filter(Formulas!$C:$C,Formulas!$A:$A=B455)"),"""formula"":[{""sku"":""1008"",""req"":1}]")</f>
        <v>"formula":[{"sku":"1008","req":1}]</v>
      </c>
      <c r="G455" s="0" t="n">
        <f aca="false">IFERROR(__xludf.dummyfunction("""COMPUTED_VALUE"""),4)</f>
        <v>4</v>
      </c>
      <c r="H455" s="21" t="str">
        <f aca="false">IFERROR(__xludf.dummyfunction("IF(D455,filter(Productos!AC:AC,Productos!A:A=B455),)"),"fabrica")</f>
        <v>fabrica</v>
      </c>
      <c r="I455" s="24" t="str">
        <f aca="false">IFERROR(__xludf.dummyfunction("""COMPUTED_VALUE"""),"")</f>
        <v/>
      </c>
      <c r="K455" s="0" t="e">
        <f aca="false">IF(D455,"{""sku"":"""&amp;B455&amp;""", ""costo"":"&amp;C455&amp;", ""grupo"":"""&amp;A455&amp;""", ""lote"":"&amp;D455&amp;", ""tiempo"":"&amp;E455&amp;", "&amp;F455&amp;", ""vencimiento"":"&amp;G455&amp;IF(I455,", ""precio"":"&amp;I455,)&amp;", ""tipo"":"""&amp;H455&amp;"""},",)</f>
        <v>#VALUE!</v>
      </c>
    </row>
    <row r="456" customFormat="false" ht="13" hidden="false" customHeight="false" outlineLevel="0" collapsed="false">
      <c r="A456" s="16" t="n">
        <v>7</v>
      </c>
      <c r="B456" s="0" t="n">
        <f aca="false">IFERROR(__xludf.dummyfunction("""COMPUTED_VALUE"""),1109)</f>
        <v>1109</v>
      </c>
      <c r="C456" s="24" t="n">
        <f aca="false">IFERROR(__xludf.dummyfunction("""COMPUTED_VALUE"""),10)</f>
        <v>10</v>
      </c>
      <c r="D456" s="0" t="n">
        <f aca="false">IFERROR(__xludf.dummyfunction("""COMPUTED_VALUE"""),12)</f>
        <v>12</v>
      </c>
      <c r="E456" s="0" t="n">
        <f aca="false">IFERROR(__xludf.dummyfunction("""COMPUTED_VALUE"""),30)</f>
        <v>30</v>
      </c>
      <c r="F456" s="0" t="str">
        <f aca="false">IFERROR(__xludf.dummyfunction("filter(Formulas!$C:$C,Formulas!$A:$A=B456)"),"""formula"":[{""sku"":""1009"",""req"":1}]")</f>
        <v>"formula":[{"sku":"1009","req":1}]</v>
      </c>
      <c r="G456" s="0" t="n">
        <f aca="false">IFERROR(__xludf.dummyfunction("""COMPUTED_VALUE"""),1.5)</f>
        <v>1.5</v>
      </c>
      <c r="H456" s="21" t="str">
        <f aca="false">IFERROR(__xludf.dummyfunction("IF(D456,filter(Productos!AC:AC,Productos!A:A=B456),)"),"fabrica")</f>
        <v>fabrica</v>
      </c>
      <c r="I456" s="24" t="str">
        <f aca="false">IFERROR(__xludf.dummyfunction("""COMPUTED_VALUE"""),"")</f>
        <v/>
      </c>
      <c r="K456" s="0" t="e">
        <f aca="false">IF(D456,"{""sku"":"""&amp;B456&amp;""", ""costo"":"&amp;C456&amp;", ""grupo"":"""&amp;A456&amp;""", ""lote"":"&amp;D456&amp;", ""tiempo"":"&amp;E456&amp;", "&amp;F456&amp;", ""vencimiento"":"&amp;G456&amp;IF(I456,", ""precio"":"&amp;I456,)&amp;", ""tipo"":"""&amp;H456&amp;"""},",)</f>
        <v>#VALUE!</v>
      </c>
    </row>
    <row r="457" customFormat="false" ht="13" hidden="false" customHeight="false" outlineLevel="0" collapsed="false">
      <c r="A457" s="17" t="n">
        <v>7</v>
      </c>
      <c r="B457" s="0" t="n">
        <f aca="false">IFERROR(__xludf.dummyfunction("""COMPUTED_VALUE"""),1110)</f>
        <v>1110</v>
      </c>
      <c r="C457" s="24" t="n">
        <f aca="false">IFERROR(__xludf.dummyfunction("""COMPUTED_VALUE"""),10)</f>
        <v>10</v>
      </c>
      <c r="D457" s="0" t="n">
        <f aca="false">IFERROR(__xludf.dummyfunction("""COMPUTED_VALUE"""),6)</f>
        <v>6</v>
      </c>
      <c r="E457" s="0" t="n">
        <f aca="false">IFERROR(__xludf.dummyfunction("""COMPUTED_VALUE"""),10)</f>
        <v>10</v>
      </c>
      <c r="F457" s="0" t="str">
        <f aca="false">IFERROR(__xludf.dummyfunction("filter(Formulas!$C:$C,Formulas!$A:$A=B457)"),"""formula"":[{""sku"":""1010"",""req"":1}]")</f>
        <v>"formula":[{"sku":"1010","req":1}]</v>
      </c>
      <c r="G457" s="0" t="n">
        <f aca="false">IFERROR(__xludf.dummyfunction("""COMPUTED_VALUE"""),2)</f>
        <v>2</v>
      </c>
      <c r="H457" s="21" t="str">
        <f aca="false">IFERROR(__xludf.dummyfunction("IF(D457,filter(Productos!AC:AC,Productos!A:A=B457),)"),"fabrica")</f>
        <v>fabrica</v>
      </c>
      <c r="I457" s="24" t="str">
        <f aca="false">IFERROR(__xludf.dummyfunction("""COMPUTED_VALUE"""),"")</f>
        <v/>
      </c>
      <c r="K457" s="0" t="e">
        <f aca="false">IF(D457,"{""sku"":"""&amp;B457&amp;""", ""costo"":"&amp;C457&amp;", ""grupo"":"""&amp;A457&amp;""", ""lote"":"&amp;D457&amp;", ""tiempo"":"&amp;E457&amp;", "&amp;F457&amp;", ""vencimiento"":"&amp;G457&amp;IF(I457,", ""precio"":"&amp;I457,)&amp;", ""tipo"":"""&amp;H457&amp;"""},",)</f>
        <v>#VALUE!</v>
      </c>
    </row>
    <row r="458" customFormat="false" ht="13" hidden="false" customHeight="false" outlineLevel="0" collapsed="false">
      <c r="A458" s="16" t="n">
        <v>7</v>
      </c>
      <c r="B458" s="0" t="n">
        <f aca="false">IFERROR(__xludf.dummyfunction("""COMPUTED_VALUE"""),1111)</f>
        <v>1111</v>
      </c>
      <c r="C458" s="24" t="n">
        <f aca="false">IFERROR(__xludf.dummyfunction("""COMPUTED_VALUE"""),120)</f>
        <v>120</v>
      </c>
      <c r="D458" s="0" t="n">
        <f aca="false">IFERROR(__xludf.dummyfunction("""COMPUTED_VALUE"""),2)</f>
        <v>2</v>
      </c>
      <c r="E458" s="0" t="n">
        <f aca="false">IFERROR(__xludf.dummyfunction("""COMPUTED_VALUE"""),30)</f>
        <v>30</v>
      </c>
      <c r="F458" s="0" t="str">
        <f aca="false">IFERROR(__xludf.dummyfunction("filter(Formulas!$C:$C,Formulas!$A:$A=B458)"),"""formula"":[{""sku"":""1011"",""req"":2}]")</f>
        <v>"formula":[{"sku":"1011","req":2}]</v>
      </c>
      <c r="G458" s="0" t="n">
        <f aca="false">IFERROR(__xludf.dummyfunction("""COMPUTED_VALUE"""),12)</f>
        <v>12</v>
      </c>
      <c r="H458" s="21" t="str">
        <f aca="false">IFERROR(__xludf.dummyfunction("IF(D458,filter(Productos!AC:AC,Productos!A:A=B458),)"),"fabrica")</f>
        <v>fabrica</v>
      </c>
      <c r="I458" s="24" t="str">
        <f aca="false">IFERROR(__xludf.dummyfunction("""COMPUTED_VALUE"""),"")</f>
        <v/>
      </c>
      <c r="K458" s="0" t="e">
        <f aca="false">IF(D458,"{""sku"":"""&amp;B458&amp;""", ""costo"":"&amp;C458&amp;", ""grupo"":"""&amp;A458&amp;""", ""lote"":"&amp;D458&amp;", ""tiempo"":"&amp;E458&amp;", "&amp;F458&amp;", ""vencimiento"":"&amp;G458&amp;IF(I458,", ""precio"":"&amp;I458,)&amp;", ""tipo"":"""&amp;H458&amp;"""},",)</f>
        <v>#VALUE!</v>
      </c>
    </row>
    <row r="459" customFormat="false" ht="13" hidden="false" customHeight="false" outlineLevel="0" collapsed="false">
      <c r="A459" s="17" t="n">
        <v>7</v>
      </c>
      <c r="B459" s="0" t="n">
        <f aca="false">IFERROR(__xludf.dummyfunction("""COMPUTED_VALUE"""),1112)</f>
        <v>1112</v>
      </c>
      <c r="C459" s="24" t="n">
        <f aca="false">IFERROR(__xludf.dummyfunction("""COMPUTED_VALUE"""),10)</f>
        <v>10</v>
      </c>
      <c r="D459" s="0" t="n">
        <f aca="false">IFERROR(__xludf.dummyfunction("""COMPUTED_VALUE"""),20)</f>
        <v>20</v>
      </c>
      <c r="E459" s="0" t="n">
        <f aca="false">IFERROR(__xludf.dummyfunction("""COMPUTED_VALUE"""),10)</f>
        <v>10</v>
      </c>
      <c r="F459" s="0" t="str">
        <f aca="false">IFERROR(__xludf.dummyfunction("filter(Formulas!$C:$C,Formulas!$A:$A=B459)"),"""formula"":[{""sku"":""1012"",""req"":1}]")</f>
        <v>"formula":[{"sku":"1012","req":1}]</v>
      </c>
      <c r="G459" s="0" t="n">
        <f aca="false">IFERROR(__xludf.dummyfunction("""COMPUTED_VALUE"""),24)</f>
        <v>24</v>
      </c>
      <c r="H459" s="21" t="str">
        <f aca="false">IFERROR(__xludf.dummyfunction("IF(D459,filter(Productos!AC:AC,Productos!A:A=B459),)"),"fabrica")</f>
        <v>fabrica</v>
      </c>
      <c r="I459" s="24" t="str">
        <f aca="false">IFERROR(__xludf.dummyfunction("""COMPUTED_VALUE"""),"")</f>
        <v/>
      </c>
      <c r="K459" s="0" t="e">
        <f aca="false">IF(D459,"{""sku"":"""&amp;B459&amp;""", ""costo"":"&amp;C459&amp;", ""grupo"":"""&amp;A459&amp;""", ""lote"":"&amp;D459&amp;", ""tiempo"":"&amp;E459&amp;", "&amp;F459&amp;", ""vencimiento"":"&amp;G459&amp;IF(I459,", ""precio"":"&amp;I459,)&amp;", ""tipo"":"""&amp;H459&amp;"""},",)</f>
        <v>#VALUE!</v>
      </c>
    </row>
    <row r="460" customFormat="false" ht="13" hidden="false" customHeight="false" outlineLevel="0" collapsed="false">
      <c r="A460" s="16" t="n">
        <v>7</v>
      </c>
      <c r="B460" s="0" t="n">
        <f aca="false">IFERROR(__xludf.dummyfunction("""COMPUTED_VALUE"""),1114)</f>
        <v>1114</v>
      </c>
      <c r="C460" s="24" t="n">
        <f aca="false">IFERROR(__xludf.dummyfunction("""COMPUTED_VALUE"""),10)</f>
        <v>10</v>
      </c>
      <c r="D460" s="0" t="n">
        <f aca="false">IFERROR(__xludf.dummyfunction("""COMPUTED_VALUE"""),4)</f>
        <v>4</v>
      </c>
      <c r="E460" s="0" t="n">
        <f aca="false">IFERROR(__xludf.dummyfunction("""COMPUTED_VALUE"""),10)</f>
        <v>10</v>
      </c>
      <c r="F460" s="0" t="str">
        <f aca="false">IFERROR(__xludf.dummyfunction("filter(Formulas!$C:$C,Formulas!$A:$A=B460)"),"""formula"":[{""sku"":""1014"",""req"":1}]")</f>
        <v>"formula":[{"sku":"1014","req":1}]</v>
      </c>
      <c r="G460" s="0" t="n">
        <f aca="false">IFERROR(__xludf.dummyfunction("""COMPUTED_VALUE"""),2)</f>
        <v>2</v>
      </c>
      <c r="H460" s="21" t="str">
        <f aca="false">IFERROR(__xludf.dummyfunction("IF(D460,filter(Productos!AC:AC,Productos!A:A=B460),)"),"fabrica")</f>
        <v>fabrica</v>
      </c>
      <c r="I460" s="24" t="str">
        <f aca="false">IFERROR(__xludf.dummyfunction("""COMPUTED_VALUE"""),"")</f>
        <v/>
      </c>
      <c r="K460" s="0" t="e">
        <f aca="false">IF(D460,"{""sku"":"""&amp;B460&amp;""", ""costo"":"&amp;C460&amp;", ""grupo"":"""&amp;A460&amp;""", ""lote"":"&amp;D460&amp;", ""tiempo"":"&amp;E460&amp;", "&amp;F460&amp;", ""vencimiento"":"&amp;G460&amp;IF(I460,", ""precio"":"&amp;I460,)&amp;", ""tipo"":"""&amp;H460&amp;"""},",)</f>
        <v>#VALUE!</v>
      </c>
    </row>
    <row r="461" customFormat="false" ht="13" hidden="false" customHeight="false" outlineLevel="0" collapsed="false">
      <c r="A461" s="17" t="n">
        <v>7</v>
      </c>
      <c r="B461" s="0" t="n">
        <f aca="false">IFERROR(__xludf.dummyfunction("""COMPUTED_VALUE"""),1115)</f>
        <v>1115</v>
      </c>
      <c r="C461" s="24" t="n">
        <f aca="false">IFERROR(__xludf.dummyfunction("""COMPUTED_VALUE"""),10)</f>
        <v>10</v>
      </c>
      <c r="D461" s="0" t="n">
        <f aca="false">IFERROR(__xludf.dummyfunction("""COMPUTED_VALUE"""),8)</f>
        <v>8</v>
      </c>
      <c r="E461" s="0" t="n">
        <f aca="false">IFERROR(__xludf.dummyfunction("""COMPUTED_VALUE"""),10)</f>
        <v>10</v>
      </c>
      <c r="F461" s="0" t="str">
        <f aca="false">IFERROR(__xludf.dummyfunction("filter(Formulas!$C:$C,Formulas!$A:$A=B461)"),"""formula"":[{""sku"":""1015"",""req"":2}]")</f>
        <v>"formula":[{"sku":"1015","req":2}]</v>
      </c>
      <c r="G461" s="0" t="n">
        <f aca="false">IFERROR(__xludf.dummyfunction("""COMPUTED_VALUE"""),3)</f>
        <v>3</v>
      </c>
      <c r="H461" s="21" t="str">
        <f aca="false">IFERROR(__xludf.dummyfunction("IF(D461,filter(Productos!AC:AC,Productos!A:A=B461),)"),"fabrica")</f>
        <v>fabrica</v>
      </c>
      <c r="I461" s="24" t="str">
        <f aca="false">IFERROR(__xludf.dummyfunction("""COMPUTED_VALUE"""),"")</f>
        <v/>
      </c>
      <c r="K461" s="0" t="e">
        <f aca="false">IF(D461,"{""sku"":"""&amp;B461&amp;""", ""costo"":"&amp;C461&amp;", ""grupo"":"""&amp;A461&amp;""", ""lote"":"&amp;D461&amp;", ""tiempo"":"&amp;E461&amp;", "&amp;F461&amp;", ""vencimiento"":"&amp;G461&amp;IF(I461,", ""precio"":"&amp;I461,)&amp;", ""tipo"":"""&amp;H461&amp;"""},",)</f>
        <v>#VALUE!</v>
      </c>
    </row>
    <row r="462" customFormat="false" ht="13" hidden="false" customHeight="false" outlineLevel="0" collapsed="false">
      <c r="A462" s="16" t="n">
        <v>7</v>
      </c>
      <c r="B462" s="0" t="n">
        <f aca="false">IFERROR(__xludf.dummyfunction("""COMPUTED_VALUE"""),1116)</f>
        <v>1116</v>
      </c>
      <c r="C462" s="24" t="n">
        <f aca="false">IFERROR(__xludf.dummyfunction("""COMPUTED_VALUE"""),10)</f>
        <v>10</v>
      </c>
      <c r="D462" s="0" t="n">
        <f aca="false">IFERROR(__xludf.dummyfunction("""COMPUTED_VALUE"""),10)</f>
        <v>10</v>
      </c>
      <c r="E462" s="0" t="n">
        <f aca="false">IFERROR(__xludf.dummyfunction("""COMPUTED_VALUE"""),40)</f>
        <v>40</v>
      </c>
      <c r="F462" s="0" t="str">
        <f aca="false">IFERROR(__xludf.dummyfunction("filter(Formulas!$C:$C,Formulas!$A:$A=B462)"),"""formula"":[{""sku"":""1016"",""req"":11}]")</f>
        <v>"formula":[{"sku":"1016","req":11}]</v>
      </c>
      <c r="G462" s="0" t="n">
        <f aca="false">IFERROR(__xludf.dummyfunction("""COMPUTED_VALUE"""),24)</f>
        <v>24</v>
      </c>
      <c r="H462" s="21" t="str">
        <f aca="false">IFERROR(__xludf.dummyfunction("IF(D462,filter(Productos!AC:AC,Productos!A:A=B462),)"),"fabrica")</f>
        <v>fabrica</v>
      </c>
      <c r="I462" s="0" t="str">
        <f aca="false">IFERROR(__xludf.dummyfunction("""COMPUTED_VALUE"""),"")</f>
        <v/>
      </c>
      <c r="K462" s="0" t="e">
        <f aca="false">IF(D462,"{""sku"":"""&amp;B462&amp;""", ""costo"":"&amp;C462&amp;", ""grupo"":"""&amp;A462&amp;""", ""lote"":"&amp;D462&amp;", ""tiempo"":"&amp;E462&amp;", "&amp;F462&amp;", ""vencimiento"":"&amp;G462&amp;IF(I462,", ""precio"":"&amp;I462,)&amp;", ""tipo"":"""&amp;H462&amp;"""},",)</f>
        <v>#VALUE!</v>
      </c>
    </row>
    <row r="463" customFormat="false" ht="13" hidden="false" customHeight="false" outlineLevel="0" collapsed="false">
      <c r="A463" s="17" t="n">
        <v>7</v>
      </c>
      <c r="B463" s="0" t="n">
        <f aca="false">IFERROR(__xludf.dummyfunction("""COMPUTED_VALUE"""),1201)</f>
        <v>1201</v>
      </c>
      <c r="C463" s="24" t="n">
        <f aca="false">IFERROR(__xludf.dummyfunction("""COMPUTED_VALUE"""),10)</f>
        <v>10</v>
      </c>
      <c r="D463" s="0" t="n">
        <f aca="false">IFERROR(__xludf.dummyfunction("""COMPUTED_VALUE"""),10)</f>
        <v>10</v>
      </c>
      <c r="E463" s="0" t="n">
        <f aca="false">IFERROR(__xludf.dummyfunction("""COMPUTED_VALUE"""),10)</f>
        <v>10</v>
      </c>
      <c r="F463" s="0" t="str">
        <f aca="false">IFERROR(__xludf.dummyfunction("filter(Formulas!$C:$C,Formulas!$A:$A=B463)"),"""formula"":[{""sku"":""1101"",""req"":1}]")</f>
        <v>"formula":[{"sku":"1101","req":1}]</v>
      </c>
      <c r="G463" s="0" t="n">
        <f aca="false">IFERROR(__xludf.dummyfunction("""COMPUTED_VALUE"""),2)</f>
        <v>2</v>
      </c>
      <c r="H463" s="21" t="str">
        <f aca="false">IFERROR(__xludf.dummyfunction("IF(D463,filter(Productos!AC:AC,Productos!A:A=B463),)"),"fabrica")</f>
        <v>fabrica</v>
      </c>
      <c r="I463" s="24" t="str">
        <f aca="false">IFERROR(__xludf.dummyfunction("""COMPUTED_VALUE"""),"")</f>
        <v/>
      </c>
      <c r="K463" s="0" t="e">
        <f aca="false">IF(D463,"{""sku"":"""&amp;B463&amp;""", ""costo"":"&amp;C463&amp;", ""grupo"":"""&amp;A463&amp;""", ""lote"":"&amp;D463&amp;", ""tiempo"":"&amp;E463&amp;", "&amp;F463&amp;", ""vencimiento"":"&amp;G463&amp;IF(I463,", ""precio"":"&amp;I463,)&amp;", ""tipo"":"""&amp;H463&amp;"""},",)</f>
        <v>#VALUE!</v>
      </c>
    </row>
    <row r="464" customFormat="false" ht="13" hidden="false" customHeight="false" outlineLevel="0" collapsed="false">
      <c r="A464" s="16" t="n">
        <v>7</v>
      </c>
      <c r="B464" s="0" t="n">
        <f aca="false">IFERROR(__xludf.dummyfunction("""COMPUTED_VALUE"""),1207)</f>
        <v>1207</v>
      </c>
      <c r="C464" s="24" t="n">
        <f aca="false">IFERROR(__xludf.dummyfunction("""COMPUTED_VALUE"""),30)</f>
        <v>30</v>
      </c>
      <c r="D464" s="0" t="n">
        <f aca="false">IFERROR(__xludf.dummyfunction("""COMPUTED_VALUE"""),12)</f>
        <v>12</v>
      </c>
      <c r="E464" s="0" t="n">
        <f aca="false">IFERROR(__xludf.dummyfunction("""COMPUTED_VALUE"""),20)</f>
        <v>20</v>
      </c>
      <c r="F464" s="0" t="str">
        <f aca="false">IFERROR(__xludf.dummyfunction("filter(Formulas!$C:$C,Formulas!$A:$A=B464)"),"""formula"":[{""sku"":""1007"",""req"":1}]")</f>
        <v>"formula":[{"sku":"1007","req":1}]</v>
      </c>
      <c r="G464" s="0" t="n">
        <f aca="false">IFERROR(__xludf.dummyfunction("""COMPUTED_VALUE"""),2)</f>
        <v>2</v>
      </c>
      <c r="H464" s="21" t="str">
        <f aca="false">IFERROR(__xludf.dummyfunction("IF(D464,filter(Productos!AC:AC,Productos!A:A=B464),)"),"fabrica")</f>
        <v>fabrica</v>
      </c>
      <c r="I464" s="24" t="str">
        <f aca="false">IFERROR(__xludf.dummyfunction("""COMPUTED_VALUE"""),"")</f>
        <v/>
      </c>
      <c r="K464" s="0" t="e">
        <f aca="false">IF(D464,"{""sku"":"""&amp;B464&amp;""", ""costo"":"&amp;C464&amp;", ""grupo"":"""&amp;A464&amp;""", ""lote"":"&amp;D464&amp;", ""tiempo"":"&amp;E464&amp;", "&amp;F464&amp;", ""vencimiento"":"&amp;G464&amp;IF(I464,", ""precio"":"&amp;I464,)&amp;", ""tipo"":"""&amp;H464&amp;"""},",)</f>
        <v>#VALUE!</v>
      </c>
    </row>
    <row r="465" customFormat="false" ht="13" hidden="false" customHeight="false" outlineLevel="0" collapsed="false">
      <c r="A465" s="17" t="n">
        <v>7</v>
      </c>
      <c r="B465" s="0" t="n">
        <f aca="false">IFERROR(__xludf.dummyfunction("""COMPUTED_VALUE"""),1209)</f>
        <v>1209</v>
      </c>
      <c r="C465" s="24" t="n">
        <f aca="false">IFERROR(__xludf.dummyfunction("""COMPUTED_VALUE"""),30)</f>
        <v>30</v>
      </c>
      <c r="D465" s="0" t="n">
        <f aca="false">IFERROR(__xludf.dummyfunction("""COMPUTED_VALUE"""),14)</f>
        <v>14</v>
      </c>
      <c r="E465" s="0" t="n">
        <f aca="false">IFERROR(__xludf.dummyfunction("""COMPUTED_VALUE"""),30)</f>
        <v>30</v>
      </c>
      <c r="F465" s="0" t="str">
        <f aca="false">IFERROR(__xludf.dummyfunction("filter(Formulas!$C:$C,Formulas!$A:$A=B465)"),"""formula"":[{""sku"":""1009"",""req"":1}]")</f>
        <v>"formula":[{"sku":"1009","req":1}]</v>
      </c>
      <c r="G465" s="0" t="n">
        <f aca="false">IFERROR(__xludf.dummyfunction("""COMPUTED_VALUE"""),1.5)</f>
        <v>1.5</v>
      </c>
      <c r="H465" s="21" t="str">
        <f aca="false">IFERROR(__xludf.dummyfunction("IF(D465,filter(Productos!AC:AC,Productos!A:A=B465),)"),"fabrica")</f>
        <v>fabrica</v>
      </c>
      <c r="I465" s="24" t="str">
        <f aca="false">IFERROR(__xludf.dummyfunction("""COMPUTED_VALUE"""),"")</f>
        <v/>
      </c>
      <c r="K465" s="0" t="e">
        <f aca="false">IF(D465,"{""sku"":"""&amp;B465&amp;""", ""costo"":"&amp;C465&amp;", ""grupo"":"""&amp;A465&amp;""", ""lote"":"&amp;D465&amp;", ""tiempo"":"&amp;E465&amp;", "&amp;F465&amp;", ""vencimiento"":"&amp;G465&amp;IF(I465,", ""precio"":"&amp;I465,)&amp;", ""tipo"":"""&amp;H465&amp;"""},",)</f>
        <v>#VALUE!</v>
      </c>
    </row>
    <row r="466" customFormat="false" ht="13" hidden="false" customHeight="false" outlineLevel="0" collapsed="false">
      <c r="A466" s="16" t="n">
        <v>7</v>
      </c>
      <c r="B466" s="0" t="n">
        <f aca="false">IFERROR(__xludf.dummyfunction("""COMPUTED_VALUE"""),1210)</f>
        <v>1210</v>
      </c>
      <c r="C466" s="24" t="n">
        <f aca="false">IFERROR(__xludf.dummyfunction("""COMPUTED_VALUE"""),10)</f>
        <v>10</v>
      </c>
      <c r="D466" s="0" t="n">
        <f aca="false">IFERROR(__xludf.dummyfunction("""COMPUTED_VALUE"""),9)</f>
        <v>9</v>
      </c>
      <c r="E466" s="0" t="n">
        <f aca="false">IFERROR(__xludf.dummyfunction("""COMPUTED_VALUE"""),10)</f>
        <v>10</v>
      </c>
      <c r="F466" s="0" t="str">
        <f aca="false">IFERROR(__xludf.dummyfunction("filter(Formulas!$C:$C,Formulas!$A:$A=B466)"),"""formula"":[{""sku"":""1010"",""req"":1}]")</f>
        <v>"formula":[{"sku":"1010","req":1}]</v>
      </c>
      <c r="G466" s="0" t="n">
        <f aca="false">IFERROR(__xludf.dummyfunction("""COMPUTED_VALUE"""),2.3)</f>
        <v>2.3</v>
      </c>
      <c r="H466" s="21" t="str">
        <f aca="false">IFERROR(__xludf.dummyfunction("IF(D466,filter(Productos!AC:AC,Productos!A:A=B466),)"),"fabrica")</f>
        <v>fabrica</v>
      </c>
      <c r="I466" s="24" t="str">
        <f aca="false">IFERROR(__xludf.dummyfunction("""COMPUTED_VALUE"""),"")</f>
        <v/>
      </c>
      <c r="K466" s="0" t="e">
        <f aca="false">IF(D466,"{""sku"":"""&amp;B466&amp;""", ""costo"":"&amp;C466&amp;", ""grupo"":"""&amp;A466&amp;""", ""lote"":"&amp;D466&amp;", ""tiempo"":"&amp;E466&amp;", "&amp;F466&amp;", ""vencimiento"":"&amp;G466&amp;IF(I466,", ""precio"":"&amp;I466,)&amp;", ""tipo"":"""&amp;H466&amp;"""},",)</f>
        <v>#VALUE!</v>
      </c>
    </row>
    <row r="467" customFormat="false" ht="13" hidden="false" customHeight="false" outlineLevel="0" collapsed="false">
      <c r="A467" s="17" t="n">
        <v>7</v>
      </c>
      <c r="B467" s="0" t="n">
        <f aca="false">IFERROR(__xludf.dummyfunction("""COMPUTED_VALUE"""),1211)</f>
        <v>1211</v>
      </c>
      <c r="C467" s="24" t="n">
        <f aca="false">IFERROR(__xludf.dummyfunction("""COMPUTED_VALUE"""),10)</f>
        <v>10</v>
      </c>
      <c r="D467" s="0" t="n">
        <f aca="false">IFERROR(__xludf.dummyfunction("""COMPUTED_VALUE"""),10)</f>
        <v>10</v>
      </c>
      <c r="E467" s="0" t="n">
        <f aca="false">IFERROR(__xludf.dummyfunction("""COMPUTED_VALUE"""),10)</f>
        <v>10</v>
      </c>
      <c r="F467" s="0" t="str">
        <f aca="false">IFERROR(__xludf.dummyfunction("filter(Formulas!$C:$C,Formulas!$A:$A=B467)"),"""formula"":[{""sku"":""1111"",""req"":1}]")</f>
        <v>"formula":[{"sku":"1111","req":1}]</v>
      </c>
      <c r="G467" s="0" t="n">
        <f aca="false">IFERROR(__xludf.dummyfunction("""COMPUTED_VALUE"""),12)</f>
        <v>12</v>
      </c>
      <c r="H467" s="21" t="str">
        <f aca="false">IFERROR(__xludf.dummyfunction("IF(D467,filter(Productos!AC:AC,Productos!A:A=B467),)"),"fabrica")</f>
        <v>fabrica</v>
      </c>
      <c r="I467" s="24" t="str">
        <f aca="false">IFERROR(__xludf.dummyfunction("""COMPUTED_VALUE"""),"")</f>
        <v/>
      </c>
      <c r="K467" s="0" t="e">
        <f aca="false">IF(D467,"{""sku"":"""&amp;B467&amp;""", ""costo"":"&amp;C467&amp;", ""grupo"":"""&amp;A467&amp;""", ""lote"":"&amp;D467&amp;", ""tiempo"":"&amp;E467&amp;", "&amp;F467&amp;", ""vencimiento"":"&amp;G467&amp;IF(I467,", ""precio"":"&amp;I467,)&amp;", ""tipo"":"""&amp;H467&amp;"""},",)</f>
        <v>#VALUE!</v>
      </c>
    </row>
    <row r="468" customFormat="false" ht="13" hidden="false" customHeight="false" outlineLevel="0" collapsed="false">
      <c r="A468" s="16" t="n">
        <v>7</v>
      </c>
      <c r="B468" s="0" t="n">
        <f aca="false">IFERROR(__xludf.dummyfunction("""COMPUTED_VALUE"""),1215)</f>
        <v>1215</v>
      </c>
      <c r="C468" s="24" t="n">
        <f aca="false">IFERROR(__xludf.dummyfunction("""COMPUTED_VALUE"""),0)</f>
        <v>0</v>
      </c>
      <c r="D468" s="0" t="n">
        <f aca="false">IFERROR(__xludf.dummyfunction("""COMPUTED_VALUE"""),8)</f>
        <v>8</v>
      </c>
      <c r="E468" s="0" t="n">
        <f aca="false">IFERROR(__xludf.dummyfunction("""COMPUTED_VALUE"""),10)</f>
        <v>10</v>
      </c>
      <c r="F468" s="0" t="str">
        <f aca="false">IFERROR(__xludf.dummyfunction("filter(Formulas!$C:$C,Formulas!$A:$A=B468)"),"""formula"":[{""sku"":""1015"",""req"":4}]")</f>
        <v>"formula":[{"sku":"1015","req":4}]</v>
      </c>
      <c r="G468" s="0" t="n">
        <f aca="false">IFERROR(__xludf.dummyfunction("""COMPUTED_VALUE"""),3)</f>
        <v>3</v>
      </c>
      <c r="H468" s="21" t="str">
        <f aca="false">IFERROR(__xludf.dummyfunction("IF(D468,filter(Productos!AC:AC,Productos!A:A=B468),)"),"fabrica")</f>
        <v>fabrica</v>
      </c>
      <c r="I468" s="24" t="str">
        <f aca="false">IFERROR(__xludf.dummyfunction("""COMPUTED_VALUE"""),"")</f>
        <v/>
      </c>
      <c r="K468" s="0" t="e">
        <f aca="false">IF(D468,"{""sku"":"""&amp;B468&amp;""", ""costo"":"&amp;C468&amp;", ""grupo"":"""&amp;A468&amp;""", ""lote"":"&amp;D468&amp;", ""tiempo"":"&amp;E468&amp;", "&amp;F468&amp;", ""vencimiento"":"&amp;G468&amp;IF(I468,", ""precio"":"&amp;I468,)&amp;", ""tipo"":"""&amp;H468&amp;"""},",)</f>
        <v>#VALUE!</v>
      </c>
    </row>
    <row r="469" customFormat="false" ht="13" hidden="false" customHeight="false" outlineLevel="0" collapsed="false">
      <c r="A469" s="17" t="n">
        <v>7</v>
      </c>
      <c r="B469" s="0" t="n">
        <f aca="false">IFERROR(__xludf.dummyfunction("""COMPUTED_VALUE"""),1216)</f>
        <v>1216</v>
      </c>
      <c r="C469" s="24" t="n">
        <f aca="false">IFERROR(__xludf.dummyfunction("""COMPUTED_VALUE"""),10)</f>
        <v>10</v>
      </c>
      <c r="D469" s="0" t="n">
        <f aca="false">IFERROR(__xludf.dummyfunction("""COMPUTED_VALUE"""),10)</f>
        <v>10</v>
      </c>
      <c r="E469" s="0" t="n">
        <f aca="false">IFERROR(__xludf.dummyfunction("""COMPUTED_VALUE"""),30)</f>
        <v>30</v>
      </c>
      <c r="F469" s="0" t="str">
        <f aca="false">IFERROR(__xludf.dummyfunction("filter(Formulas!$C:$C,Formulas!$A:$A=B469)"),"""formula"":[{""sku"":""1016"",""req"":2}]")</f>
        <v>"formula":[{"sku":"1016","req":2}]</v>
      </c>
      <c r="G469" s="0" t="n">
        <f aca="false">IFERROR(__xludf.dummyfunction("""COMPUTED_VALUE"""),24)</f>
        <v>24</v>
      </c>
      <c r="H469" s="21" t="str">
        <f aca="false">IFERROR(__xludf.dummyfunction("IF(D469,filter(Productos!AC:AC,Productos!A:A=B469),)"),"fabrica")</f>
        <v>fabrica</v>
      </c>
      <c r="I469" s="0" t="str">
        <f aca="false">IFERROR(__xludf.dummyfunction("""COMPUTED_VALUE"""),"")</f>
        <v/>
      </c>
      <c r="K469" s="0" t="e">
        <f aca="false">IF(D469,"{""sku"":"""&amp;B469&amp;""", ""costo"":"&amp;C469&amp;", ""grupo"":"""&amp;A469&amp;""", ""lote"":"&amp;D469&amp;", ""tiempo"":"&amp;E469&amp;", "&amp;F469&amp;", ""vencimiento"":"&amp;G469&amp;IF(I469,", ""precio"":"&amp;I469,)&amp;", ""tipo"":"""&amp;H469&amp;"""},",)</f>
        <v>#VALUE!</v>
      </c>
    </row>
    <row r="470" customFormat="false" ht="13" hidden="false" customHeight="false" outlineLevel="0" collapsed="false">
      <c r="A470" s="16" t="n">
        <v>7</v>
      </c>
      <c r="B470" s="0" t="n">
        <f aca="false">IFERROR(__xludf.dummyfunction("""COMPUTED_VALUE"""),1301)</f>
        <v>1301</v>
      </c>
      <c r="C470" s="24" t="n">
        <f aca="false">IFERROR(__xludf.dummyfunction("""COMPUTED_VALUE"""),10)</f>
        <v>10</v>
      </c>
      <c r="D470" s="0" t="n">
        <f aca="false">IFERROR(__xludf.dummyfunction("""COMPUTED_VALUE"""),5)</f>
        <v>5</v>
      </c>
      <c r="E470" s="0" t="n">
        <f aca="false">IFERROR(__xludf.dummyfunction("""COMPUTED_VALUE"""),10)</f>
        <v>10</v>
      </c>
      <c r="F470" s="0" t="str">
        <f aca="false">IFERROR(__xludf.dummyfunction("filter(Formulas!$C:$C,Formulas!$A:$A=B470)"),"""formula"":[{""sku"":""1101"",""req"":1}]")</f>
        <v>"formula":[{"sku":"1101","req":1}]</v>
      </c>
      <c r="G470" s="0" t="n">
        <f aca="false">IFERROR(__xludf.dummyfunction("""COMPUTED_VALUE"""),2)</f>
        <v>2</v>
      </c>
      <c r="H470" s="21" t="str">
        <f aca="false">IFERROR(__xludf.dummyfunction("IF(D470,filter(Productos!AC:AC,Productos!A:A=B470),)"),"fabrica")</f>
        <v>fabrica</v>
      </c>
      <c r="I470" s="24" t="str">
        <f aca="false">IFERROR(__xludf.dummyfunction("""COMPUTED_VALUE"""),"")</f>
        <v/>
      </c>
      <c r="K470" s="0" t="e">
        <f aca="false">IF(D470,"{""sku"":"""&amp;B470&amp;""", ""costo"":"&amp;C470&amp;", ""grupo"":"""&amp;A470&amp;""", ""lote"":"&amp;D470&amp;", ""tiempo"":"&amp;E470&amp;", "&amp;F470&amp;", ""vencimiento"":"&amp;G470&amp;IF(I470,", ""precio"":"&amp;I470,)&amp;", ""tipo"":"""&amp;H470&amp;"""},",)</f>
        <v>#VALUE!</v>
      </c>
    </row>
    <row r="471" customFormat="false" ht="13" hidden="false" customHeight="false" outlineLevel="0" collapsed="false">
      <c r="A471" s="17" t="n">
        <v>7</v>
      </c>
      <c r="B471" s="0" t="n">
        <f aca="false">IFERROR(__xludf.dummyfunction("""COMPUTED_VALUE"""),1307)</f>
        <v>1307</v>
      </c>
      <c r="C471" s="24" t="n">
        <f aca="false">IFERROR(__xludf.dummyfunction("""COMPUTED_VALUE"""),50)</f>
        <v>50</v>
      </c>
      <c r="D471" s="0" t="n">
        <f aca="false">IFERROR(__xludf.dummyfunction("""COMPUTED_VALUE"""),11)</f>
        <v>11</v>
      </c>
      <c r="E471" s="0" t="n">
        <f aca="false">IFERROR(__xludf.dummyfunction("""COMPUTED_VALUE"""),30)</f>
        <v>30</v>
      </c>
      <c r="F471" s="0" t="str">
        <f aca="false">IFERROR(__xludf.dummyfunction("filter(Formulas!$C:$C,Formulas!$A:$A=B471)"),"""formula"":[{""sku"":""1007"",""req"":1}]")</f>
        <v>"formula":[{"sku":"1007","req":1}]</v>
      </c>
      <c r="G471" s="0" t="n">
        <f aca="false">IFERROR(__xludf.dummyfunction("""COMPUTED_VALUE"""),1.2)</f>
        <v>1.2</v>
      </c>
      <c r="H471" s="21" t="str">
        <f aca="false">IFERROR(__xludf.dummyfunction("IF(D471,filter(Productos!AC:AC,Productos!A:A=B471),)"),"fabrica")</f>
        <v>fabrica</v>
      </c>
      <c r="I471" s="24" t="str">
        <f aca="false">IFERROR(__xludf.dummyfunction("""COMPUTED_VALUE"""),"")</f>
        <v/>
      </c>
      <c r="K471" s="0" t="e">
        <f aca="false">IF(D471,"{""sku"":"""&amp;B471&amp;""", ""costo"":"&amp;C471&amp;", ""grupo"":"""&amp;A471&amp;""", ""lote"":"&amp;D471&amp;", ""tiempo"":"&amp;E471&amp;", "&amp;F471&amp;", ""vencimiento"":"&amp;G471&amp;IF(I471,", ""precio"":"&amp;I471,)&amp;", ""tipo"":"""&amp;H471&amp;"""},",)</f>
        <v>#VALUE!</v>
      </c>
    </row>
    <row r="472" customFormat="false" ht="13" hidden="false" customHeight="false" outlineLevel="0" collapsed="false">
      <c r="A472" s="16" t="n">
        <v>7</v>
      </c>
      <c r="B472" s="0" t="n">
        <f aca="false">IFERROR(__xludf.dummyfunction("""COMPUTED_VALUE"""),1309)</f>
        <v>1309</v>
      </c>
      <c r="C472" s="24" t="n">
        <f aca="false">IFERROR(__xludf.dummyfunction("""COMPUTED_VALUE"""),50)</f>
        <v>50</v>
      </c>
      <c r="D472" s="0" t="n">
        <f aca="false">IFERROR(__xludf.dummyfunction("""COMPUTED_VALUE"""),11)</f>
        <v>11</v>
      </c>
      <c r="E472" s="0" t="n">
        <f aca="false">IFERROR(__xludf.dummyfunction("""COMPUTED_VALUE"""),50)</f>
        <v>50</v>
      </c>
      <c r="F472" s="0" t="str">
        <f aca="false">IFERROR(__xludf.dummyfunction("filter(Formulas!$C:$C,Formulas!$A:$A=B472)"),"""formula"":[{""sku"":""1009"",""req"":1}]")</f>
        <v>"formula":[{"sku":"1009","req":1}]</v>
      </c>
      <c r="G472" s="0" t="n">
        <f aca="false">IFERROR(__xludf.dummyfunction("""COMPUTED_VALUE"""),1.2)</f>
        <v>1.2</v>
      </c>
      <c r="H472" s="21" t="str">
        <f aca="false">IFERROR(__xludf.dummyfunction("IF(D472,filter(Productos!AC:AC,Productos!A:A=B472),)"),"fabrica")</f>
        <v>fabrica</v>
      </c>
      <c r="I472" s="24" t="str">
        <f aca="false">IFERROR(__xludf.dummyfunction("""COMPUTED_VALUE"""),"")</f>
        <v/>
      </c>
      <c r="K472" s="0" t="e">
        <f aca="false">IF(D472,"{""sku"":"""&amp;B472&amp;""", ""costo"":"&amp;C472&amp;", ""grupo"":"""&amp;A472&amp;""", ""lote"":"&amp;D472&amp;", ""tiempo"":"&amp;E472&amp;", "&amp;F472&amp;", ""vencimiento"":"&amp;G472&amp;IF(I472,", ""precio"":"&amp;I472,)&amp;", ""tipo"":"""&amp;H472&amp;"""},",)</f>
        <v>#VALUE!</v>
      </c>
    </row>
    <row r="473" customFormat="false" ht="13" hidden="false" customHeight="false" outlineLevel="0" collapsed="false">
      <c r="A473" s="17" t="n">
        <v>7</v>
      </c>
      <c r="B473" s="0" t="n">
        <f aca="false">IFERROR(__xludf.dummyfunction("""COMPUTED_VALUE"""),1310)</f>
        <v>1310</v>
      </c>
      <c r="C473" s="24" t="n">
        <f aca="false">IFERROR(__xludf.dummyfunction("""COMPUTED_VALUE"""),10)</f>
        <v>10</v>
      </c>
      <c r="D473" s="0" t="n">
        <f aca="false">IFERROR(__xludf.dummyfunction("""COMPUTED_VALUE"""),12)</f>
        <v>12</v>
      </c>
      <c r="E473" s="0" t="n">
        <f aca="false">IFERROR(__xludf.dummyfunction("""COMPUTED_VALUE"""),10)</f>
        <v>10</v>
      </c>
      <c r="F473" s="0" t="str">
        <f aca="false">IFERROR(__xludf.dummyfunction("filter(Formulas!$C:$C,Formulas!$A:$A=B473)"),"""formula"":[{""sku"":""1010"",""req"":1}]")</f>
        <v>"formula":[{"sku":"1010","req":1}]</v>
      </c>
      <c r="G473" s="0" t="n">
        <f aca="false">IFERROR(__xludf.dummyfunction("""COMPUTED_VALUE"""),2)</f>
        <v>2</v>
      </c>
      <c r="H473" s="21" t="str">
        <f aca="false">IFERROR(__xludf.dummyfunction("IF(D473,filter(Productos!AC:AC,Productos!A:A=B473),)"),"fabrica")</f>
        <v>fabrica</v>
      </c>
      <c r="I473" s="24" t="str">
        <f aca="false">IFERROR(__xludf.dummyfunction("""COMPUTED_VALUE"""),"")</f>
        <v/>
      </c>
      <c r="K473" s="0" t="e">
        <f aca="false">IF(D473,"{""sku"":"""&amp;B473&amp;""", ""costo"":"&amp;C473&amp;", ""grupo"":"""&amp;A473&amp;""", ""lote"":"&amp;D473&amp;", ""tiempo"":"&amp;E473&amp;", "&amp;F473&amp;", ""vencimiento"":"&amp;G473&amp;IF(I473,", ""precio"":"&amp;I473,)&amp;", ""tipo"":"""&amp;H473&amp;"""},",)</f>
        <v>#VALUE!</v>
      </c>
    </row>
    <row r="474" customFormat="false" ht="13" hidden="false" customHeight="false" outlineLevel="0" collapsed="false">
      <c r="A474" s="16" t="n">
        <v>7</v>
      </c>
      <c r="B474" s="0" t="n">
        <f aca="false">IFERROR(__xludf.dummyfunction("""COMPUTED_VALUE"""),1407)</f>
        <v>1407</v>
      </c>
      <c r="C474" s="24" t="n">
        <f aca="false">IFERROR(__xludf.dummyfunction("""COMPUTED_VALUE"""),10)</f>
        <v>10</v>
      </c>
      <c r="D474" s="0" t="n">
        <f aca="false">IFERROR(__xludf.dummyfunction("""COMPUTED_VALUE"""),14)</f>
        <v>14</v>
      </c>
      <c r="E474" s="0" t="n">
        <f aca="false">IFERROR(__xludf.dummyfunction("""COMPUTED_VALUE"""),30)</f>
        <v>30</v>
      </c>
      <c r="F474" s="0" t="str">
        <f aca="false">IFERROR(__xludf.dummyfunction("filter(Formulas!$C:$C,Formulas!$A:$A=B474)"),"""formula"":[{""sku"":""1007"",""req"":1}]")</f>
        <v>"formula":[{"sku":"1007","req":1}]</v>
      </c>
      <c r="G474" s="0" t="n">
        <f aca="false">IFERROR(__xludf.dummyfunction("""COMPUTED_VALUE"""),2)</f>
        <v>2</v>
      </c>
      <c r="H474" s="21" t="str">
        <f aca="false">IFERROR(__xludf.dummyfunction("IF(D474,filter(Productos!AC:AC,Productos!A:A=B474),)"),"fabrica")</f>
        <v>fabrica</v>
      </c>
      <c r="I474" s="24" t="str">
        <f aca="false">IFERROR(__xludf.dummyfunction("""COMPUTED_VALUE"""),"")</f>
        <v/>
      </c>
      <c r="K474" s="0" t="e">
        <f aca="false">IF(D474,"{""sku"":"""&amp;B474&amp;""", ""costo"":"&amp;C474&amp;", ""grupo"":"""&amp;A474&amp;""", ""lote"":"&amp;D474&amp;", ""tiempo"":"&amp;E474&amp;", "&amp;F474&amp;", ""vencimiento"":"&amp;G474&amp;IF(I474,", ""precio"":"&amp;I474,)&amp;", ""tipo"":"""&amp;H474&amp;"""},",)</f>
        <v>#VALUE!</v>
      </c>
    </row>
    <row r="475" customFormat="false" ht="13" hidden="false" customHeight="false" outlineLevel="0" collapsed="false">
      <c r="A475" s="17" t="n">
        <v>7</v>
      </c>
      <c r="B475" s="0" t="n">
        <f aca="false">IFERROR(__xludf.dummyfunction("""COMPUTED_VALUE"""),10001)</f>
        <v>10001</v>
      </c>
      <c r="C475" s="24" t="n">
        <f aca="false">IFERROR(__xludf.dummyfunction("""COMPUTED_VALUE"""),10)</f>
        <v>10</v>
      </c>
      <c r="D475" s="0" t="n">
        <f aca="false">IFERROR(__xludf.dummyfunction("""COMPUTED_VALUE"""),1)</f>
        <v>1</v>
      </c>
      <c r="E475" s="0" t="n">
        <f aca="false">IFERROR(__xludf.dummyfunction("""COMPUTED_VALUE"""),10)</f>
        <v>10</v>
      </c>
      <c r="F475" s="0" t="str">
        <f aca="false">IFERROR(__xludf.dummyfunction("filter(Formulas!$C:$C,Formulas!$A:$A=B475)"),"""formula"":[{""sku"":""1201"",""req"":1},{""sku"":""1105"",""req"":1},{""sku"":""1210"",""req"":1},{""sku"":""1211"",""req"":1},{""sku"":""1116"",""req"":1}]")</f>
        <v>"formula":[{"sku":"1201","req":1},{"sku":"1105","req":1},{"sku":"1210","req":1},{"sku":"1211","req":1},{"sku":"1116","req":1}]</v>
      </c>
      <c r="G475" s="0" t="n">
        <f aca="false">IFERROR(__xludf.dummyfunction("""COMPUTED_VALUE"""),1)</f>
        <v>1</v>
      </c>
      <c r="H475" s="21" t="str">
        <f aca="false">IFERROR(__xludf.dummyfunction("IF(D475,filter(Productos!AC:AC,Productos!A:A=B475),)"),"cocina")</f>
        <v>cocina</v>
      </c>
      <c r="I475" s="24" t="n">
        <f aca="false">IFERROR(__xludf.dummyfunction("""COMPUTED_VALUE"""),4500)</f>
        <v>4500</v>
      </c>
      <c r="K475" s="0" t="str">
        <f aca="false">IF(D475,"{""sku"":"""&amp;B475&amp;""", ""costo"":"&amp;C475&amp;", ""grupo"":"""&amp;A475&amp;""", ""lote"":"&amp;D475&amp;", ""tiempo"":"&amp;E475&amp;", "&amp;F475&amp;", ""vencimiento"":"&amp;G475&amp;IF(I475,", ""precio"":"&amp;I475,)&amp;", ""tipo"":"""&amp;H475&amp;"""},",)</f>
        <v>{"sku":"10001", "costo":10, "grupo":"7", "lote":1, "tiempo":10, "formula":[{"sku":"1201","req":1},{"sku":"1105","req":1},{"sku":"1210","req":1},{"sku":"1211","req":1},{"sku":"1116","req":1}], "vencimiento":1, "precio":4500, "tipo":"cocina"},</v>
      </c>
    </row>
    <row r="476" customFormat="false" ht="13" hidden="false" customHeight="false" outlineLevel="0" collapsed="false">
      <c r="A476" s="16" t="n">
        <v>7</v>
      </c>
      <c r="B476" s="0" t="n">
        <f aca="false">IFERROR(__xludf.dummyfunction("""COMPUTED_VALUE"""),10002)</f>
        <v>10002</v>
      </c>
      <c r="C476" s="24" t="n">
        <f aca="false">IFERROR(__xludf.dummyfunction("""COMPUTED_VALUE"""),10)</f>
        <v>10</v>
      </c>
      <c r="D476" s="0" t="n">
        <f aca="false">IFERROR(__xludf.dummyfunction("""COMPUTED_VALUE"""),1)</f>
        <v>1</v>
      </c>
      <c r="E476" s="0" t="n">
        <f aca="false">IFERROR(__xludf.dummyfunction("""COMPUTED_VALUE"""),20)</f>
        <v>20</v>
      </c>
      <c r="F476" s="0" t="str">
        <f aca="false">IFERROR(__xludf.dummyfunction("filter(Formulas!$C:$C,Formulas!$A:$A=B476)"),"""formula"":[{""sku"":""1201"",""req"":1},{""sku"":""1105"",""req"":1},{""sku"":""1013"",""req"":5},{""sku"":""1210"",""req"":1},{""sku"":""1116"",""req"":1}]")</f>
        <v>"formula":[{"sku":"1201","req":1},{"sku":"1105","req":1},{"sku":"1013","req":5},{"sku":"1210","req":1},{"sku":"1116","req":1}]</v>
      </c>
      <c r="G476" s="0" t="n">
        <f aca="false">IFERROR(__xludf.dummyfunction("""COMPUTED_VALUE"""),1)</f>
        <v>1</v>
      </c>
      <c r="H476" s="21" t="str">
        <f aca="false">IFERROR(__xludf.dummyfunction("IF(D476,filter(Productos!AC:AC,Productos!A:A=B476),)"),"cocina")</f>
        <v>cocina</v>
      </c>
      <c r="I476" s="24" t="n">
        <f aca="false">IFERROR(__xludf.dummyfunction("""COMPUTED_VALUE"""),4500)</f>
        <v>4500</v>
      </c>
      <c r="K476" s="0" t="str">
        <f aca="false">IF(D476,"{""sku"":"""&amp;B476&amp;""", ""costo"":"&amp;C476&amp;", ""grupo"":"""&amp;A476&amp;""", ""lote"":"&amp;D476&amp;", ""tiempo"":"&amp;E476&amp;", "&amp;F476&amp;", ""vencimiento"":"&amp;G476&amp;IF(I476,", ""precio"":"&amp;I476,)&amp;", ""tipo"":"""&amp;H476&amp;"""},",)</f>
        <v>{"sku":"10002", "costo":10, "grupo":"7", "lote":1, "tiempo":20, "formula":[{"sku":"1201","req":1},{"sku":"1105","req":1},{"sku":"1013","req":5},{"sku":"1210","req":1},{"sku":"1116","req":1}], "vencimiento":1, "precio":4500, "tipo":"cocina"},</v>
      </c>
    </row>
    <row r="477" customFormat="false" ht="13" hidden="false" customHeight="false" outlineLevel="0" collapsed="false">
      <c r="A477" s="17" t="n">
        <v>7</v>
      </c>
      <c r="B477" s="0" t="n">
        <f aca="false">IFERROR(__xludf.dummyfunction("""COMPUTED_VALUE"""),10003)</f>
        <v>10003</v>
      </c>
      <c r="C477" s="24" t="n">
        <f aca="false">IFERROR(__xludf.dummyfunction("""COMPUTED_VALUE"""),10)</f>
        <v>10</v>
      </c>
      <c r="D477" s="0" t="n">
        <f aca="false">IFERROR(__xludf.dummyfunction("""COMPUTED_VALUE"""),1)</f>
        <v>1</v>
      </c>
      <c r="E477" s="0" t="n">
        <f aca="false">IFERROR(__xludf.dummyfunction("""COMPUTED_VALUE"""),30)</f>
        <v>30</v>
      </c>
      <c r="F477" s="0" t="str">
        <f aca="false">IFERROR(__xludf.dummyfunction("filter(Formulas!$C:$C,Formulas!$A:$A=B477)"),"""formula"":[{""sku"":""1201"",""req"":1},{""sku"":""1105"",""req"":1},{""sku"":""1013"",""req"":5},{""sku"":""1210"",""req"":1},{""sku"":""1211"",""req"":1},{""sku"":""1116"",""req"":1}]")</f>
        <v>"formula":[{"sku":"1201","req":1},{"sku":"1105","req":1},{"sku":"1013","req":5},{"sku":"1210","req":1},{"sku":"1211","req":1},{"sku":"1116","req":1}]</v>
      </c>
      <c r="G477" s="0" t="n">
        <f aca="false">IFERROR(__xludf.dummyfunction("""COMPUTED_VALUE"""),1)</f>
        <v>1</v>
      </c>
      <c r="H477" s="21" t="str">
        <f aca="false">IFERROR(__xludf.dummyfunction("IF(D477,filter(Productos!AC:AC,Productos!A:A=B477),)"),"cocina")</f>
        <v>cocina</v>
      </c>
      <c r="I477" s="24" t="n">
        <f aca="false">IFERROR(__xludf.dummyfunction("""COMPUTED_VALUE"""),4700)</f>
        <v>4700</v>
      </c>
      <c r="K477" s="0" t="str">
        <f aca="false">IF(D477,"{""sku"":"""&amp;B477&amp;""", ""costo"":"&amp;C477&amp;", ""grupo"":"""&amp;A477&amp;""", ""lote"":"&amp;D477&amp;", ""tiempo"":"&amp;E477&amp;", "&amp;F477&amp;", ""vencimiento"":"&amp;G477&amp;IF(I477,", ""precio"":"&amp;I477,)&amp;", ""tipo"":"""&amp;H477&amp;"""},",)</f>
        <v>{"sku":"10003", "costo":10, "grupo":"7", "lote":1, "tiempo":30, "formula":[{"sku":"1201","req":1},{"sku":"1105","req":1},{"sku":"1013","req":5},{"sku":"1210","req":1},{"sku":"1211","req":1},{"sku":"1116","req":1}], "vencimiento":1, "precio":4700, "tipo":"cocina"},</v>
      </c>
    </row>
    <row r="478" customFormat="false" ht="13" hidden="false" customHeight="false" outlineLevel="0" collapsed="false">
      <c r="A478" s="16" t="n">
        <v>7</v>
      </c>
      <c r="B478" s="0" t="n">
        <f aca="false">IFERROR(__xludf.dummyfunction("""COMPUTED_VALUE"""),10004)</f>
        <v>10004</v>
      </c>
      <c r="C478" s="24" t="n">
        <f aca="false">IFERROR(__xludf.dummyfunction("""COMPUTED_VALUE"""),10)</f>
        <v>10</v>
      </c>
      <c r="D478" s="0" t="n">
        <f aca="false">IFERROR(__xludf.dummyfunction("""COMPUTED_VALUE"""),1)</f>
        <v>1</v>
      </c>
      <c r="E478" s="0" t="n">
        <f aca="false">IFERROR(__xludf.dummyfunction("""COMPUTED_VALUE"""),10)</f>
        <v>10</v>
      </c>
      <c r="F478" s="0" t="str">
        <f aca="false">IFERROR(__xludf.dummyfunction("filter(Formulas!$C:$C,Formulas!$A:$A=B478)"),"""formula"":[{""sku"":""1201"",""req"":1},{""sku"":""1106"",""req"":4},{""sku"":""1210"",""req"":1},{""sku"":""1211"",""req"":1},{""sku"":""1116"",""req"":1}]")</f>
        <v>"formula":[{"sku":"1201","req":1},{"sku":"1106","req":4},{"sku":"1210","req":1},{"sku":"1211","req":1},{"sku":"1116","req":1}]</v>
      </c>
      <c r="G478" s="0" t="n">
        <f aca="false">IFERROR(__xludf.dummyfunction("""COMPUTED_VALUE"""),1)</f>
        <v>1</v>
      </c>
      <c r="H478" s="21" t="str">
        <f aca="false">IFERROR(__xludf.dummyfunction("IF(D478,filter(Productos!AC:AC,Productos!A:A=B478),)"),"cocina")</f>
        <v>cocina</v>
      </c>
      <c r="I478" s="24" t="n">
        <f aca="false">IFERROR(__xludf.dummyfunction("""COMPUTED_VALUE"""),4700)</f>
        <v>4700</v>
      </c>
      <c r="K478" s="0" t="str">
        <f aca="false">IF(D478,"{""sku"":"""&amp;B478&amp;""", ""costo"":"&amp;C478&amp;", ""grupo"":"""&amp;A478&amp;""", ""lote"":"&amp;D478&amp;", ""tiempo"":"&amp;E478&amp;", "&amp;F478&amp;", ""vencimiento"":"&amp;G478&amp;IF(I478,", ""precio"":"&amp;I478,)&amp;", ""tipo"":"""&amp;H478&amp;"""},",)</f>
        <v>{"sku":"10004", "costo":10, "grupo":"7", "lote":1, "tiempo":10, "formula":[{"sku":"1201","req":1},{"sku":"1106","req":4},{"sku":"1210","req":1},{"sku":"1211","req":1},{"sku":"1116","req":1}], "vencimiento":1, "precio":4700, "tipo":"cocina"},</v>
      </c>
    </row>
    <row r="479" customFormat="false" ht="13" hidden="false" customHeight="false" outlineLevel="0" collapsed="false">
      <c r="A479" s="17" t="n">
        <v>7</v>
      </c>
      <c r="B479" s="0" t="n">
        <f aca="false">IFERROR(__xludf.dummyfunction("""COMPUTED_VALUE"""),10005)</f>
        <v>10005</v>
      </c>
      <c r="C479" s="24" t="n">
        <f aca="false">IFERROR(__xludf.dummyfunction("""COMPUTED_VALUE"""),10)</f>
        <v>10</v>
      </c>
      <c r="D479" s="0" t="n">
        <f aca="false">IFERROR(__xludf.dummyfunction("""COMPUTED_VALUE"""),1)</f>
        <v>1</v>
      </c>
      <c r="E479" s="0" t="n">
        <f aca="false">IFERROR(__xludf.dummyfunction("""COMPUTED_VALUE"""),20)</f>
        <v>20</v>
      </c>
      <c r="F479" s="0" t="str">
        <f aca="false">IFERROR(__xludf.dummyfunction("filter(Formulas!$C:$C,Formulas!$A:$A=B479)"),"""formula"":[{""sku"":""1201"",""req"":1},{""sku"":""1106"",""req"":4},{""sku"":""1013"",""req"":5},{""sku"":""1210"",""req"":1},{""sku"":""1116"",""req"":1}]")</f>
        <v>"formula":[{"sku":"1201","req":1},{"sku":"1106","req":4},{"sku":"1013","req":5},{"sku":"1210","req":1},{"sku":"1116","req":1}]</v>
      </c>
      <c r="G479" s="0" t="n">
        <f aca="false">IFERROR(__xludf.dummyfunction("""COMPUTED_VALUE"""),1)</f>
        <v>1</v>
      </c>
      <c r="H479" s="21" t="str">
        <f aca="false">IFERROR(__xludf.dummyfunction("IF(D479,filter(Productos!AC:AC,Productos!A:A=B479),)"),"cocina")</f>
        <v>cocina</v>
      </c>
      <c r="I479" s="24" t="n">
        <f aca="false">IFERROR(__xludf.dummyfunction("""COMPUTED_VALUE"""),4700)</f>
        <v>4700</v>
      </c>
      <c r="K479" s="0" t="str">
        <f aca="false">IF(D479,"{""sku"":"""&amp;B479&amp;""", ""costo"":"&amp;C479&amp;", ""grupo"":"""&amp;A479&amp;""", ""lote"":"&amp;D479&amp;", ""tiempo"":"&amp;E479&amp;", "&amp;F479&amp;", ""vencimiento"":"&amp;G479&amp;IF(I479,", ""precio"":"&amp;I479,)&amp;", ""tipo"":"""&amp;H479&amp;"""},",)</f>
        <v>{"sku":"10005", "costo":10, "grupo":"7", "lote":1, "tiempo":20, "formula":[{"sku":"1201","req":1},{"sku":"1106","req":4},{"sku":"1013","req":5},{"sku":"1210","req":1},{"sku":"1116","req":1}], "vencimiento":1, "precio":4700, "tipo":"cocina"},</v>
      </c>
    </row>
    <row r="480" customFormat="false" ht="13" hidden="false" customHeight="false" outlineLevel="0" collapsed="false">
      <c r="A480" s="16" t="n">
        <v>7</v>
      </c>
      <c r="B480" s="0" t="n">
        <f aca="false">IFERROR(__xludf.dummyfunction("""COMPUTED_VALUE"""),10006)</f>
        <v>10006</v>
      </c>
      <c r="C480" s="24" t="n">
        <f aca="false">IFERROR(__xludf.dummyfunction("""COMPUTED_VALUE"""),10)</f>
        <v>10</v>
      </c>
      <c r="D480" s="0" t="n">
        <f aca="false">IFERROR(__xludf.dummyfunction("""COMPUTED_VALUE"""),1)</f>
        <v>1</v>
      </c>
      <c r="E480" s="0" t="n">
        <f aca="false">IFERROR(__xludf.dummyfunction("""COMPUTED_VALUE"""),10)</f>
        <v>10</v>
      </c>
      <c r="F480" s="0" t="str">
        <f aca="false">IFERROR(__xludf.dummyfunction("filter(Formulas!$C:$C,Formulas!$A:$A=B480)"),"""formula"":[{""sku"":""1201"",""req"":1},{""sku"":""1210"",""req"":1},{""sku"":""1107"",""req"":1},{""sku"":""1211"",""req"":1},{""sku"":""1116"",""req"":1}]")</f>
        <v>"formula":[{"sku":"1201","req":1},{"sku":"1210","req":1},{"sku":"1107","req":1},{"sku":"1211","req":1},{"sku":"1116","req":1}]</v>
      </c>
      <c r="G480" s="0" t="n">
        <f aca="false">IFERROR(__xludf.dummyfunction("""COMPUTED_VALUE"""),1)</f>
        <v>1</v>
      </c>
      <c r="H480" s="21" t="str">
        <f aca="false">IFERROR(__xludf.dummyfunction("IF(D480,filter(Productos!AC:AC,Productos!A:A=B480),)"),"cocina")</f>
        <v>cocina</v>
      </c>
      <c r="I480" s="24" t="n">
        <f aca="false">IFERROR(__xludf.dummyfunction("""COMPUTED_VALUE"""),4900)</f>
        <v>4900</v>
      </c>
      <c r="K480" s="0" t="str">
        <f aca="false">IF(D480,"{""sku"":"""&amp;B480&amp;""", ""costo"":"&amp;C480&amp;", ""grupo"":"""&amp;A480&amp;""", ""lote"":"&amp;D480&amp;", ""tiempo"":"&amp;E480&amp;", "&amp;F480&amp;", ""vencimiento"":"&amp;G480&amp;IF(I480,", ""precio"":"&amp;I480,)&amp;", ""tipo"":"""&amp;H480&amp;"""},",)</f>
        <v>{"sku":"10006", "costo":10, "grupo":"7", "lote":1, "tiempo":10, "formula":[{"sku":"1201","req":1},{"sku":"1210","req":1},{"sku":"1107","req":1},{"sku":"1211","req":1},{"sku":"1116","req":1}], "vencimiento":1, "precio":4900, "tipo":"cocina"},</v>
      </c>
    </row>
    <row r="481" customFormat="false" ht="13" hidden="false" customHeight="false" outlineLevel="0" collapsed="false">
      <c r="A481" s="17" t="n">
        <v>7</v>
      </c>
      <c r="B481" s="0" t="n">
        <f aca="false">IFERROR(__xludf.dummyfunction("""COMPUTED_VALUE"""),10007)</f>
        <v>10007</v>
      </c>
      <c r="C481" s="24" t="n">
        <f aca="false">IFERROR(__xludf.dummyfunction("""COMPUTED_VALUE"""),10)</f>
        <v>10</v>
      </c>
      <c r="D481" s="0" t="n">
        <f aca="false">IFERROR(__xludf.dummyfunction("""COMPUTED_VALUE"""),1)</f>
        <v>1</v>
      </c>
      <c r="E481" s="0" t="n">
        <f aca="false">IFERROR(__xludf.dummyfunction("""COMPUTED_VALUE"""),20)</f>
        <v>20</v>
      </c>
      <c r="F481" s="0" t="str">
        <f aca="false">IFERROR(__xludf.dummyfunction("filter(Formulas!$C:$C,Formulas!$A:$A=B481)"),"""formula"":[{""sku"":""1201"",""req"":1},{""sku"":""1013"",""req"":5},{""sku"":""1210"",""req"":1},{""sku"":""1107"",""req"":1},{""sku"":""1116"",""req"":1}]")</f>
        <v>"formula":[{"sku":"1201","req":1},{"sku":"1013","req":5},{"sku":"1210","req":1},{"sku":"1107","req":1},{"sku":"1116","req":1}]</v>
      </c>
      <c r="G481" s="0" t="n">
        <f aca="false">IFERROR(__xludf.dummyfunction("""COMPUTED_VALUE"""),1)</f>
        <v>1</v>
      </c>
      <c r="H481" s="21" t="str">
        <f aca="false">IFERROR(__xludf.dummyfunction("IF(D481,filter(Productos!AC:AC,Productos!A:A=B481),)"),"cocina")</f>
        <v>cocina</v>
      </c>
      <c r="I481" s="24" t="n">
        <f aca="false">IFERROR(__xludf.dummyfunction("""COMPUTED_VALUE"""),4900)</f>
        <v>4900</v>
      </c>
      <c r="K481" s="0" t="str">
        <f aca="false">IF(D481,"{""sku"":"""&amp;B481&amp;""", ""costo"":"&amp;C481&amp;", ""grupo"":"""&amp;A481&amp;""", ""lote"":"&amp;D481&amp;", ""tiempo"":"&amp;E481&amp;", "&amp;F481&amp;", ""vencimiento"":"&amp;G481&amp;IF(I481,", ""precio"":"&amp;I481,)&amp;", ""tipo"":"""&amp;H481&amp;"""},",)</f>
        <v>{"sku":"10007", "costo":10, "grupo":"7", "lote":1, "tiempo":20, "formula":[{"sku":"1201","req":1},{"sku":"1013","req":5},{"sku":"1210","req":1},{"sku":"1107","req":1},{"sku":"1116","req":1}], "vencimiento":1, "precio":4900, "tipo":"cocina"},</v>
      </c>
    </row>
    <row r="482" customFormat="false" ht="13" hidden="false" customHeight="false" outlineLevel="0" collapsed="false">
      <c r="A482" s="16" t="n">
        <v>7</v>
      </c>
      <c r="B482" s="0" t="n">
        <f aca="false">IFERROR(__xludf.dummyfunction("""COMPUTED_VALUE"""),10008)</f>
        <v>10008</v>
      </c>
      <c r="C482" s="24" t="n">
        <f aca="false">IFERROR(__xludf.dummyfunction("""COMPUTED_VALUE"""),10)</f>
        <v>10</v>
      </c>
      <c r="D482" s="0" t="n">
        <f aca="false">IFERROR(__xludf.dummyfunction("""COMPUTED_VALUE"""),1)</f>
        <v>1</v>
      </c>
      <c r="E482" s="0" t="n">
        <f aca="false">IFERROR(__xludf.dummyfunction("""COMPUTED_VALUE"""),20)</f>
        <v>20</v>
      </c>
      <c r="F482" s="0" t="str">
        <f aca="false">IFERROR(__xludf.dummyfunction("filter(Formulas!$C:$C,Formulas!$A:$A=B482)"),"""formula"":[{""sku"":""1201"",""req"":1},{""sku"":""1109"",""req"":1},{""sku"":""1210"",""req"":1},{""sku"":""1211"",""req"":1},{""sku"":""1116"",""req"":1}]")</f>
        <v>"formula":[{"sku":"1201","req":1},{"sku":"1109","req":1},{"sku":"1210","req":1},{"sku":"1211","req":1},{"sku":"1116","req":1}]</v>
      </c>
      <c r="G482" s="0" t="n">
        <f aca="false">IFERROR(__xludf.dummyfunction("""COMPUTED_VALUE"""),1)</f>
        <v>1</v>
      </c>
      <c r="H482" s="21" t="str">
        <f aca="false">IFERROR(__xludf.dummyfunction("IF(D482,filter(Productos!AC:AC,Productos!A:A=B482),)"),"cocina")</f>
        <v>cocina</v>
      </c>
      <c r="I482" s="24" t="n">
        <f aca="false">IFERROR(__xludf.dummyfunction("""COMPUTED_VALUE"""),4900)</f>
        <v>4900</v>
      </c>
      <c r="K482" s="0" t="str">
        <f aca="false">IF(D482,"{""sku"":"""&amp;B482&amp;""", ""costo"":"&amp;C482&amp;", ""grupo"":"""&amp;A482&amp;""", ""lote"":"&amp;D482&amp;", ""tiempo"":"&amp;E482&amp;", "&amp;F482&amp;", ""vencimiento"":"&amp;G482&amp;IF(I482,", ""precio"":"&amp;I482,)&amp;", ""tipo"":"""&amp;H482&amp;"""},",)</f>
        <v>{"sku":"10008", "costo":10, "grupo":"7", "lote":1, "tiempo":20, "formula":[{"sku":"1201","req":1},{"sku":"1109","req":1},{"sku":"1210","req":1},{"sku":"1211","req":1},{"sku":"1116","req":1}], "vencimiento":1, "precio":4900, "tipo":"cocina"},</v>
      </c>
    </row>
    <row r="483" customFormat="false" ht="13" hidden="false" customHeight="false" outlineLevel="0" collapsed="false">
      <c r="A483" s="17" t="n">
        <v>7</v>
      </c>
      <c r="B483" s="0" t="n">
        <f aca="false">IFERROR(__xludf.dummyfunction("""COMPUTED_VALUE"""),10009)</f>
        <v>10009</v>
      </c>
      <c r="C483" s="24" t="n">
        <f aca="false">IFERROR(__xludf.dummyfunction("""COMPUTED_VALUE"""),10)</f>
        <v>10</v>
      </c>
      <c r="D483" s="0" t="n">
        <f aca="false">IFERROR(__xludf.dummyfunction("""COMPUTED_VALUE"""),1)</f>
        <v>1</v>
      </c>
      <c r="E483" s="0" t="n">
        <f aca="false">IFERROR(__xludf.dummyfunction("""COMPUTED_VALUE"""),30)</f>
        <v>30</v>
      </c>
      <c r="F483" s="0" t="str">
        <f aca="false">IFERROR(__xludf.dummyfunction("filter(Formulas!$C:$C,Formulas!$A:$A=B483)"),"""formula"":[{""sku"":""1201"",""req"":1},{""sku"":""1109"",""req"":1},{""sku"":""1013"",""req"":5},{""sku"":""1210"",""req"":1},{""sku"":""1116"",""req"":1}]")</f>
        <v>"formula":[{"sku":"1201","req":1},{"sku":"1109","req":1},{"sku":"1013","req":5},{"sku":"1210","req":1},{"sku":"1116","req":1}]</v>
      </c>
      <c r="G483" s="0" t="n">
        <f aca="false">IFERROR(__xludf.dummyfunction("""COMPUTED_VALUE"""),1)</f>
        <v>1</v>
      </c>
      <c r="H483" s="21" t="str">
        <f aca="false">IFERROR(__xludf.dummyfunction("IF(D483,filter(Productos!AC:AC,Productos!A:A=B483),)"),"cocina")</f>
        <v>cocina</v>
      </c>
      <c r="I483" s="24" t="n">
        <f aca="false">IFERROR(__xludf.dummyfunction("""COMPUTED_VALUE"""),4900)</f>
        <v>4900</v>
      </c>
      <c r="K483" s="0" t="str">
        <f aca="false">IF(D483,"{""sku"":"""&amp;B483&amp;""", ""costo"":"&amp;C483&amp;", ""grupo"":"""&amp;A483&amp;""", ""lote"":"&amp;D483&amp;", ""tiempo"":"&amp;E483&amp;", "&amp;F483&amp;", ""vencimiento"":"&amp;G483&amp;IF(I483,", ""precio"":"&amp;I483,)&amp;", ""tipo"":"""&amp;H483&amp;"""},",)</f>
        <v>{"sku":"10009", "costo":10, "grupo":"7", "lote":1, "tiempo":30, "formula":[{"sku":"1201","req":1},{"sku":"1109","req":1},{"sku":"1013","req":5},{"sku":"1210","req":1},{"sku":"1116","req":1}], "vencimiento":1, "precio":4900, "tipo":"cocina"},</v>
      </c>
    </row>
    <row r="484" customFormat="false" ht="13" hidden="false" customHeight="false" outlineLevel="0" collapsed="false">
      <c r="A484" s="16" t="n">
        <v>7</v>
      </c>
      <c r="B484" s="0" t="n">
        <f aca="false">IFERROR(__xludf.dummyfunction("""COMPUTED_VALUE"""),10010)</f>
        <v>10010</v>
      </c>
      <c r="C484" s="24" t="n">
        <f aca="false">IFERROR(__xludf.dummyfunction("""COMPUTED_VALUE"""),10)</f>
        <v>10</v>
      </c>
      <c r="D484" s="0" t="n">
        <f aca="false">IFERROR(__xludf.dummyfunction("""COMPUTED_VALUE"""),1)</f>
        <v>1</v>
      </c>
      <c r="E484" s="0" t="n">
        <f aca="false">IFERROR(__xludf.dummyfunction("""COMPUTED_VALUE"""),10)</f>
        <v>10</v>
      </c>
      <c r="F484" s="0" t="str">
        <f aca="false">IFERROR(__xludf.dummyfunction("filter(Formulas!$C:$C,Formulas!$A:$A=B484)"),"""formula"":[{""sku"":""1201"",""req"":1},{""sku"":""1106"",""req"":4},{""sku"":""1210"",""req"":1},{""sku"":""1110"",""req"":1},{""sku"":""1116"",""req"":1}]")</f>
        <v>"formula":[{"sku":"1201","req":1},{"sku":"1106","req":4},{"sku":"1210","req":1},{"sku":"1110","req":1},{"sku":"1116","req":1}]</v>
      </c>
      <c r="G484" s="0" t="n">
        <f aca="false">IFERROR(__xludf.dummyfunction("""COMPUTED_VALUE"""),1)</f>
        <v>1</v>
      </c>
      <c r="H484" s="21" t="str">
        <f aca="false">IFERROR(__xludf.dummyfunction("IF(D484,filter(Productos!AC:AC,Productos!A:A=B484),)"),"cocina")</f>
        <v>cocina</v>
      </c>
      <c r="I484" s="24" t="n">
        <f aca="false">IFERROR(__xludf.dummyfunction("""COMPUTED_VALUE"""),4900)</f>
        <v>4900</v>
      </c>
      <c r="K484" s="0" t="str">
        <f aca="false">IF(D484,"{""sku"":"""&amp;B484&amp;""", ""costo"":"&amp;C484&amp;", ""grupo"":"""&amp;A484&amp;""", ""lote"":"&amp;D484&amp;", ""tiempo"":"&amp;E484&amp;", "&amp;F484&amp;", ""vencimiento"":"&amp;G484&amp;IF(I484,", ""precio"":"&amp;I484,)&amp;", ""tipo"":"""&amp;H484&amp;"""},",)</f>
        <v>{"sku":"10010", "costo":10, "grupo":"7", "lote":1, "tiempo":10, "formula":[{"sku":"1201","req":1},{"sku":"1106","req":4},{"sku":"1210","req":1},{"sku":"1110","req":1},{"sku":"1116","req":1}], "vencimiento":1, "precio":4900, "tipo":"cocina"},</v>
      </c>
    </row>
    <row r="485" customFormat="false" ht="13" hidden="false" customHeight="false" outlineLevel="0" collapsed="false">
      <c r="A485" s="17" t="n">
        <v>7</v>
      </c>
      <c r="B485" s="0" t="n">
        <f aca="false">IFERROR(__xludf.dummyfunction("""COMPUTED_VALUE"""),10011)</f>
        <v>10011</v>
      </c>
      <c r="C485" s="24" t="n">
        <f aca="false">IFERROR(__xludf.dummyfunction("""COMPUTED_VALUE"""),10)</f>
        <v>10</v>
      </c>
      <c r="D485" s="0" t="n">
        <f aca="false">IFERROR(__xludf.dummyfunction("""COMPUTED_VALUE"""),1)</f>
        <v>1</v>
      </c>
      <c r="E485" s="0" t="n">
        <f aca="false">IFERROR(__xludf.dummyfunction("""COMPUTED_VALUE"""),20)</f>
        <v>20</v>
      </c>
      <c r="F485" s="0" t="str">
        <f aca="false">IFERROR(__xludf.dummyfunction("filter(Formulas!$C:$C,Formulas!$A:$A=B485)"),"""formula"":[{""sku"":""1201"",""req"":1},{""sku"":""1106"",""req"":4},{""sku"":""1114"",""req"":1},{""sku"":""1110"",""req"":1},{""sku"":""1112"",""req"":1},{""sku"":""1116"",""req"":1}]")</f>
        <v>"formula":[{"sku":"1201","req":1},{"sku":"1106","req":4},{"sku":"1114","req":1},{"sku":"1110","req":1},{"sku":"1112","req":1},{"sku":"1116","req":1}]</v>
      </c>
      <c r="G485" s="0" t="n">
        <f aca="false">IFERROR(__xludf.dummyfunction("""COMPUTED_VALUE"""),1)</f>
        <v>1</v>
      </c>
      <c r="H485" s="21" t="str">
        <f aca="false">IFERROR(__xludf.dummyfunction("IF(D485,filter(Productos!AC:AC,Productos!A:A=B485),)"),"cocina")</f>
        <v>cocina</v>
      </c>
      <c r="I485" s="24" t="n">
        <f aca="false">IFERROR(__xludf.dummyfunction("""COMPUTED_VALUE"""),5700)</f>
        <v>5700</v>
      </c>
      <c r="K485" s="0" t="str">
        <f aca="false">IF(D485,"{""sku"":"""&amp;B485&amp;""", ""costo"":"&amp;C485&amp;", ""grupo"":"""&amp;A485&amp;""", ""lote"":"&amp;D485&amp;", ""tiempo"":"&amp;E485&amp;", "&amp;F485&amp;", ""vencimiento"":"&amp;G485&amp;IF(I485,", ""precio"":"&amp;I485,)&amp;", ""tipo"":"""&amp;H485&amp;"""},",)</f>
        <v>{"sku":"10011", "costo":10, "grupo":"7", "lote":1, "tiempo":20, "formula":[{"sku":"1201","req":1},{"sku":"1106","req":4},{"sku":"1114","req":1},{"sku":"1110","req":1},{"sku":"1112","req":1},{"sku":"1116","req":1}], "vencimiento":1, "precio":5700, "tipo":"cocina"},</v>
      </c>
    </row>
    <row r="486" customFormat="false" ht="13" hidden="false" customHeight="false" outlineLevel="0" collapsed="false">
      <c r="A486" s="16" t="n">
        <v>7</v>
      </c>
      <c r="B486" s="0" t="n">
        <f aca="false">IFERROR(__xludf.dummyfunction("""COMPUTED_VALUE"""),10012)</f>
        <v>10012</v>
      </c>
      <c r="C486" s="24" t="n">
        <f aca="false">IFERROR(__xludf.dummyfunction("""COMPUTED_VALUE"""),10)</f>
        <v>10</v>
      </c>
      <c r="D486" s="0" t="n">
        <f aca="false">IFERROR(__xludf.dummyfunction("""COMPUTED_VALUE"""),1)</f>
        <v>1</v>
      </c>
      <c r="E486" s="0" t="n">
        <f aca="false">IFERROR(__xludf.dummyfunction("""COMPUTED_VALUE"""),20)</f>
        <v>20</v>
      </c>
      <c r="F486" s="0" t="str">
        <f aca="false">IFERROR(__xludf.dummyfunction("filter(Formulas!$C:$C,Formulas!$A:$A=B486)"),"""formula"":[{""sku"":""1201"",""req"":1},{""sku"":""1106"",""req"":4},{""sku"":""1110"",""req"":1},{""sku"":""1112"",""req"":1},{""sku"":""1108"",""req"":1},{""sku"":""1116"",""req"":1}]")</f>
        <v>"formula":[{"sku":"1201","req":1},{"sku":"1106","req":4},{"sku":"1110","req":1},{"sku":"1112","req":1},{"sku":"1108","req":1},{"sku":"1116","req":1}]</v>
      </c>
      <c r="G486" s="0" t="n">
        <f aca="false">IFERROR(__xludf.dummyfunction("""COMPUTED_VALUE"""),1)</f>
        <v>1</v>
      </c>
      <c r="H486" s="21" t="str">
        <f aca="false">IFERROR(__xludf.dummyfunction("IF(D486,filter(Productos!AC:AC,Productos!A:A=B486),)"),"cocina")</f>
        <v>cocina</v>
      </c>
      <c r="I486" s="24" t="n">
        <f aca="false">IFERROR(__xludf.dummyfunction("""COMPUTED_VALUE"""),5700)</f>
        <v>5700</v>
      </c>
      <c r="K486" s="0" t="str">
        <f aca="false">IF(D486,"{""sku"":"""&amp;B486&amp;""", ""costo"":"&amp;C486&amp;", ""grupo"":"""&amp;A486&amp;""", ""lote"":"&amp;D486&amp;", ""tiempo"":"&amp;E486&amp;", "&amp;F486&amp;", ""vencimiento"":"&amp;G486&amp;IF(I486,", ""precio"":"&amp;I486,)&amp;", ""tipo"":"""&amp;H486&amp;"""},",)</f>
        <v>{"sku":"10012", "costo":10, "grupo":"7", "lote":1, "tiempo":20, "formula":[{"sku":"1201","req":1},{"sku":"1106","req":4},{"sku":"1110","req":1},{"sku":"1112","req":1},{"sku":"1108","req":1},{"sku":"1116","req":1}], "vencimiento":1, "precio":5700, "tipo":"cocina"},</v>
      </c>
    </row>
    <row r="487" customFormat="false" ht="13" hidden="false" customHeight="false" outlineLevel="0" collapsed="false">
      <c r="A487" s="17" t="n">
        <v>7</v>
      </c>
      <c r="B487" s="0" t="n">
        <f aca="false">IFERROR(__xludf.dummyfunction("""COMPUTED_VALUE"""),10013)</f>
        <v>10013</v>
      </c>
      <c r="C487" s="24" t="n">
        <f aca="false">IFERROR(__xludf.dummyfunction("""COMPUTED_VALUE"""),10)</f>
        <v>10</v>
      </c>
      <c r="D487" s="0" t="n">
        <f aca="false">IFERROR(__xludf.dummyfunction("""COMPUTED_VALUE"""),1)</f>
        <v>1</v>
      </c>
      <c r="E487" s="0" t="n">
        <f aca="false">IFERROR(__xludf.dummyfunction("""COMPUTED_VALUE"""),10)</f>
        <v>10</v>
      </c>
      <c r="F487" s="0" t="str">
        <f aca="false">IFERROR(__xludf.dummyfunction("filter(Formulas!$C:$C,Formulas!$A:$A=B487)"),"""formula"":[{""sku"":""1201"",""req"":1},{""sku"":""1106"",""req"":4},{""sku"":""1110"",""req"":1},{""sku"":""1112"",""req"":1},{""sku"":""1116"",""req"":1}]")</f>
        <v>"formula":[{"sku":"1201","req":1},{"sku":"1106","req":4},{"sku":"1110","req":1},{"sku":"1112","req":1},{"sku":"1116","req":1}]</v>
      </c>
      <c r="G487" s="0" t="n">
        <f aca="false">IFERROR(__xludf.dummyfunction("""COMPUTED_VALUE"""),1)</f>
        <v>1</v>
      </c>
      <c r="H487" s="21" t="str">
        <f aca="false">IFERROR(__xludf.dummyfunction("IF(D487,filter(Productos!AC:AC,Productos!A:A=B487),)"),"cocina")</f>
        <v>cocina</v>
      </c>
      <c r="I487" s="24" t="n">
        <f aca="false">IFERROR(__xludf.dummyfunction("""COMPUTED_VALUE"""),5700)</f>
        <v>5700</v>
      </c>
      <c r="K487" s="0" t="str">
        <f aca="false">IF(D487,"{""sku"":"""&amp;B487&amp;""", ""costo"":"&amp;C487&amp;", ""grupo"":"""&amp;A487&amp;""", ""lote"":"&amp;D487&amp;", ""tiempo"":"&amp;E487&amp;", "&amp;F487&amp;", ""vencimiento"":"&amp;G487&amp;IF(I487,", ""precio"":"&amp;I487,)&amp;", ""tipo"":"""&amp;H487&amp;"""},",)</f>
        <v>{"sku":"10013", "costo":10, "grupo":"7", "lote":1, "tiempo":10, "formula":[{"sku":"1201","req":1},{"sku":"1106","req":4},{"sku":"1110","req":1},{"sku":"1112","req":1},{"sku":"1116","req":1}], "vencimiento":1, "precio":5700, "tipo":"cocina"},</v>
      </c>
    </row>
    <row r="488" customFormat="false" ht="13" hidden="false" customHeight="false" outlineLevel="0" collapsed="false">
      <c r="A488" s="16" t="n">
        <v>7</v>
      </c>
      <c r="B488" s="0" t="n">
        <f aca="false">IFERROR(__xludf.dummyfunction("""COMPUTED_VALUE"""),10014)</f>
        <v>10014</v>
      </c>
      <c r="C488" s="24" t="n">
        <f aca="false">IFERROR(__xludf.dummyfunction("""COMPUTED_VALUE"""),10)</f>
        <v>10</v>
      </c>
      <c r="D488" s="0" t="n">
        <f aca="false">IFERROR(__xludf.dummyfunction("""COMPUTED_VALUE"""),1)</f>
        <v>1</v>
      </c>
      <c r="E488" s="0" t="n">
        <f aca="false">IFERROR(__xludf.dummyfunction("""COMPUTED_VALUE"""),10)</f>
        <v>10</v>
      </c>
      <c r="F488" s="0" t="str">
        <f aca="false">IFERROR(__xludf.dummyfunction("filter(Formulas!$C:$C,Formulas!$A:$A=B488)"),"""formula"":[{""sku"":""1201"",""req"":1},{""sku"":""1105"",""req"":1},{""sku"":""1110"",""req"":1},{""sku"":""1112"",""req"":1},{""sku"":""1116"",""req"":1}]")</f>
        <v>"formula":[{"sku":"1201","req":1},{"sku":"1105","req":1},{"sku":"1110","req":1},{"sku":"1112","req":1},{"sku":"1116","req":1}]</v>
      </c>
      <c r="G488" s="0" t="n">
        <f aca="false">IFERROR(__xludf.dummyfunction("""COMPUTED_VALUE"""),1)</f>
        <v>1</v>
      </c>
      <c r="H488" s="21" t="str">
        <f aca="false">IFERROR(__xludf.dummyfunction("IF(D488,filter(Productos!AC:AC,Productos!A:A=B488),)"),"cocina")</f>
        <v>cocina</v>
      </c>
      <c r="I488" s="24" t="n">
        <f aca="false">IFERROR(__xludf.dummyfunction("""COMPUTED_VALUE"""),4900)</f>
        <v>4900</v>
      </c>
      <c r="K488" s="0" t="str">
        <f aca="false">IF(D488,"{""sku"":"""&amp;B488&amp;""", ""costo"":"&amp;C488&amp;", ""grupo"":"""&amp;A488&amp;""", ""lote"":"&amp;D488&amp;", ""tiempo"":"&amp;E488&amp;", "&amp;F488&amp;", ""vencimiento"":"&amp;G488&amp;IF(I488,", ""precio"":"&amp;I488,)&amp;", ""tipo"":"""&amp;H488&amp;"""},",)</f>
        <v>{"sku":"10014", "costo":10, "grupo":"7", "lote":1, "tiempo":10, "formula":[{"sku":"1201","req":1},{"sku":"1105","req":1},{"sku":"1110","req":1},{"sku":"1112","req":1},{"sku":"1116","req":1}], "vencimiento":1, "precio":4900, "tipo":"cocina"},</v>
      </c>
    </row>
    <row r="489" customFormat="false" ht="13" hidden="false" customHeight="false" outlineLevel="0" collapsed="false">
      <c r="A489" s="17" t="n">
        <v>7</v>
      </c>
      <c r="B489" s="0" t="n">
        <f aca="false">IFERROR(__xludf.dummyfunction("""COMPUTED_VALUE"""),10015)</f>
        <v>10015</v>
      </c>
      <c r="C489" s="24" t="n">
        <f aca="false">IFERROR(__xludf.dummyfunction("""COMPUTED_VALUE"""),10)</f>
        <v>10</v>
      </c>
      <c r="D489" s="0" t="n">
        <f aca="false">IFERROR(__xludf.dummyfunction("""COMPUTED_VALUE"""),1)</f>
        <v>1</v>
      </c>
      <c r="E489" s="0" t="n">
        <f aca="false">IFERROR(__xludf.dummyfunction("""COMPUTED_VALUE"""),20)</f>
        <v>20</v>
      </c>
      <c r="F489" s="0" t="str">
        <f aca="false">IFERROR(__xludf.dummyfunction("filter(Formulas!$C:$C,Formulas!$A:$A=B489)"),"""formula"":[{""sku"":""1201"",""req"":1},{""sku"":""1109"",""req"":1},{""sku"":""1115"",""req"":1},{""sku"":""1110"",""req"":1},{""sku"":""1112"",""req"":1},{""sku"":""1116"",""req"":1}]")</f>
        <v>"formula":[{"sku":"1201","req":1},{"sku":"1109","req":1},{"sku":"1115","req":1},{"sku":"1110","req":1},{"sku":"1112","req":1},{"sku":"1116","req":1}]</v>
      </c>
      <c r="G489" s="0" t="n">
        <f aca="false">IFERROR(__xludf.dummyfunction("""COMPUTED_VALUE"""),1)</f>
        <v>1</v>
      </c>
      <c r="H489" s="21" t="str">
        <f aca="false">IFERROR(__xludf.dummyfunction("IF(D489,filter(Productos!AC:AC,Productos!A:A=B489),)"),"cocina")</f>
        <v>cocina</v>
      </c>
      <c r="I489" s="24" t="n">
        <f aca="false">IFERROR(__xludf.dummyfunction("""COMPUTED_VALUE"""),5700)</f>
        <v>5700</v>
      </c>
      <c r="K489" s="0" t="str">
        <f aca="false">IF(D489,"{""sku"":"""&amp;B489&amp;""", ""costo"":"&amp;C489&amp;", ""grupo"":"""&amp;A489&amp;""", ""lote"":"&amp;D489&amp;", ""tiempo"":"&amp;E489&amp;", "&amp;F489&amp;", ""vencimiento"":"&amp;G489&amp;IF(I489,", ""precio"":"&amp;I489,)&amp;", ""tipo"":"""&amp;H489&amp;"""},",)</f>
        <v>{"sku":"10015", "costo":10, "grupo":"7", "lote":1, "tiempo":20, "formula":[{"sku":"1201","req":1},{"sku":"1109","req":1},{"sku":"1115","req":1},{"sku":"1110","req":1},{"sku":"1112","req":1},{"sku":"1116","req":1}], "vencimiento":1, "precio":5700, "tipo":"cocina"},</v>
      </c>
    </row>
    <row r="490" customFormat="false" ht="13" hidden="false" customHeight="false" outlineLevel="0" collapsed="false">
      <c r="A490" s="16" t="n">
        <v>7</v>
      </c>
      <c r="B490" s="0" t="n">
        <f aca="false">IFERROR(__xludf.dummyfunction("""COMPUTED_VALUE"""),10016)</f>
        <v>10016</v>
      </c>
      <c r="C490" s="24" t="n">
        <f aca="false">IFERROR(__xludf.dummyfunction("""COMPUTED_VALUE"""),10)</f>
        <v>10</v>
      </c>
      <c r="D490" s="0" t="n">
        <f aca="false">IFERROR(__xludf.dummyfunction("""COMPUTED_VALUE"""),1)</f>
        <v>1</v>
      </c>
      <c r="E490" s="0" t="n">
        <f aca="false">IFERROR(__xludf.dummyfunction("""COMPUTED_VALUE"""),20)</f>
        <v>20</v>
      </c>
      <c r="F490" s="0" t="str">
        <f aca="false">IFERROR(__xludf.dummyfunction("filter(Formulas!$C:$C,Formulas!$A:$A=B490)"),"""formula"":[{""sku"":""1201"",""req"":1},{""sku"":""1106"",""req"":4},{""sku"":""1110"",""req"":1},{""sku"":""1112"",""req"":1},{""sku"":""1107"",""req"":1},{""sku"":""1116"",""req"":1}]")</f>
        <v>"formula":[{"sku":"1201","req":1},{"sku":"1106","req":4},{"sku":"1110","req":1},{"sku":"1112","req":1},{"sku":"1107","req":1},{"sku":"1116","req":1}]</v>
      </c>
      <c r="G490" s="0" t="n">
        <f aca="false">IFERROR(__xludf.dummyfunction("""COMPUTED_VALUE"""),1)</f>
        <v>1</v>
      </c>
      <c r="H490" s="21" t="str">
        <f aca="false">IFERROR(__xludf.dummyfunction("IF(D490,filter(Productos!AC:AC,Productos!A:A=B490),)"),"cocina")</f>
        <v>cocina</v>
      </c>
      <c r="I490" s="24" t="n">
        <f aca="false">IFERROR(__xludf.dummyfunction("""COMPUTED_VALUE"""),5700)</f>
        <v>5700</v>
      </c>
      <c r="K490" s="0" t="str">
        <f aca="false">IF(D490,"{""sku"":"""&amp;B490&amp;""", ""costo"":"&amp;C490&amp;", ""grupo"":"""&amp;A490&amp;""", ""lote"":"&amp;D490&amp;", ""tiempo"":"&amp;E490&amp;", "&amp;F490&amp;", ""vencimiento"":"&amp;G490&amp;IF(I490,", ""precio"":"&amp;I490,)&amp;", ""tipo"":"""&amp;H490&amp;"""},",)</f>
        <v>{"sku":"10016", "costo":10, "grupo":"7", "lote":1, "tiempo":20, "formula":[{"sku":"1201","req":1},{"sku":"1106","req":4},{"sku":"1110","req":1},{"sku":"1112","req":1},{"sku":"1107","req":1},{"sku":"1116","req":1}], "vencimiento":1, "precio":5700, "tipo":"cocina"},</v>
      </c>
    </row>
    <row r="491" customFormat="false" ht="13" hidden="false" customHeight="false" outlineLevel="0" collapsed="false">
      <c r="A491" s="17" t="n">
        <v>7</v>
      </c>
      <c r="B491" s="0" t="n">
        <f aca="false">IFERROR(__xludf.dummyfunction("""COMPUTED_VALUE"""),10017)</f>
        <v>10017</v>
      </c>
      <c r="C491" s="24" t="n">
        <f aca="false">IFERROR(__xludf.dummyfunction("""COMPUTED_VALUE"""),10)</f>
        <v>10</v>
      </c>
      <c r="D491" s="0" t="n">
        <f aca="false">IFERROR(__xludf.dummyfunction("""COMPUTED_VALUE"""),1)</f>
        <v>1</v>
      </c>
      <c r="E491" s="0" t="n">
        <f aca="false">IFERROR(__xludf.dummyfunction("""COMPUTED_VALUE"""),10)</f>
        <v>10</v>
      </c>
      <c r="F491" s="0" t="str">
        <f aca="false">IFERROR(__xludf.dummyfunction("filter(Formulas!$C:$C,Formulas!$A:$A=B491)"),"""formula"":[{""sku"":""1201"",""req"":1},{""sku"":""1110"",""req"":1},{""sku"":""1112"",""req"":1},{""sku"":""1107"",""req"":1},{""sku"":""1116"",""req"":1}]")</f>
        <v>"formula":[{"sku":"1201","req":1},{"sku":"1110","req":1},{"sku":"1112","req":1},{"sku":"1107","req":1},{"sku":"1116","req":1}]</v>
      </c>
      <c r="G491" s="0" t="n">
        <f aca="false">IFERROR(__xludf.dummyfunction("""COMPUTED_VALUE"""),1)</f>
        <v>1</v>
      </c>
      <c r="H491" s="21" t="str">
        <f aca="false">IFERROR(__xludf.dummyfunction("IF(D491,filter(Productos!AC:AC,Productos!A:A=B491),)"),"cocina")</f>
        <v>cocina</v>
      </c>
      <c r="I491" s="24" t="n">
        <f aca="false">IFERROR(__xludf.dummyfunction("""COMPUTED_VALUE"""),5700)</f>
        <v>5700</v>
      </c>
      <c r="K491" s="0" t="str">
        <f aca="false">IF(D491,"{""sku"":"""&amp;B491&amp;""", ""costo"":"&amp;C491&amp;", ""grupo"":"""&amp;A491&amp;""", ""lote"":"&amp;D491&amp;", ""tiempo"":"&amp;E491&amp;", "&amp;F491&amp;", ""vencimiento"":"&amp;G491&amp;IF(I491,", ""precio"":"&amp;I491,)&amp;", ""tipo"":"""&amp;H491&amp;"""},",)</f>
        <v>{"sku":"10017", "costo":10, "grupo":"7", "lote":1, "tiempo":10, "formula":[{"sku":"1201","req":1},{"sku":"1110","req":1},{"sku":"1112","req":1},{"sku":"1107","req":1},{"sku":"1116","req":1}], "vencimiento":1, "precio":5700, "tipo":"cocina"},</v>
      </c>
    </row>
    <row r="492" customFormat="false" ht="13" hidden="false" customHeight="false" outlineLevel="0" collapsed="false">
      <c r="A492" s="16" t="n">
        <v>7</v>
      </c>
      <c r="B492" s="0" t="n">
        <f aca="false">IFERROR(__xludf.dummyfunction("""COMPUTED_VALUE"""),10018)</f>
        <v>10018</v>
      </c>
      <c r="C492" s="24" t="n">
        <f aca="false">IFERROR(__xludf.dummyfunction("""COMPUTED_VALUE"""),10)</f>
        <v>10</v>
      </c>
      <c r="D492" s="0" t="n">
        <f aca="false">IFERROR(__xludf.dummyfunction("""COMPUTED_VALUE"""),1)</f>
        <v>1</v>
      </c>
      <c r="E492" s="0" t="n">
        <f aca="false">IFERROR(__xludf.dummyfunction("""COMPUTED_VALUE"""),10)</f>
        <v>10</v>
      </c>
      <c r="F492" s="0" t="str">
        <f aca="false">IFERROR(__xludf.dummyfunction("filter(Formulas!$C:$C,Formulas!$A:$A=B492)"),"""formula"":[{""sku"":""1201"",""req"":1},{""sku"":""1105"",""req"":1},{""sku"":""1112"",""req"":1},{""sku"":""1407"",""req"":1},{""sku"":""1116"",""req"":1}]")</f>
        <v>"formula":[{"sku":"1201","req":1},{"sku":"1105","req":1},{"sku":"1112","req":1},{"sku":"1407","req":1},{"sku":"1116","req":1}]</v>
      </c>
      <c r="G492" s="0" t="n">
        <f aca="false">IFERROR(__xludf.dummyfunction("""COMPUTED_VALUE"""),1)</f>
        <v>1</v>
      </c>
      <c r="H492" s="21" t="str">
        <f aca="false">IFERROR(__xludf.dummyfunction("IF(D492,filter(Productos!AC:AC,Productos!A:A=B492),)"),"cocina")</f>
        <v>cocina</v>
      </c>
      <c r="I492" s="24" t="n">
        <f aca="false">IFERROR(__xludf.dummyfunction("""COMPUTED_VALUE"""),5700)</f>
        <v>5700</v>
      </c>
      <c r="K492" s="0" t="str">
        <f aca="false">IF(D492,"{""sku"":"""&amp;B492&amp;""", ""costo"":"&amp;C492&amp;", ""grupo"":"""&amp;A492&amp;""", ""lote"":"&amp;D492&amp;", ""tiempo"":"&amp;E492&amp;", "&amp;F492&amp;", ""vencimiento"":"&amp;G492&amp;IF(I492,", ""precio"":"&amp;I492,)&amp;", ""tipo"":"""&amp;H492&amp;"""},",)</f>
        <v>{"sku":"10018", "costo":10, "grupo":"7", "lote":1, "tiempo":10, "formula":[{"sku":"1201","req":1},{"sku":"1105","req":1},{"sku":"1112","req":1},{"sku":"1407","req":1},{"sku":"1116","req":1}], "vencimiento":1, "precio":5700, "tipo":"cocina"},</v>
      </c>
    </row>
    <row r="493" customFormat="false" ht="13" hidden="false" customHeight="false" outlineLevel="0" collapsed="false">
      <c r="A493" s="17" t="n">
        <v>7</v>
      </c>
      <c r="B493" s="0" t="n">
        <f aca="false">IFERROR(__xludf.dummyfunction("""COMPUTED_VALUE"""),10019)</f>
        <v>10019</v>
      </c>
      <c r="C493" s="24" t="n">
        <f aca="false">IFERROR(__xludf.dummyfunction("""COMPUTED_VALUE"""),10)</f>
        <v>10</v>
      </c>
      <c r="D493" s="0" t="n">
        <f aca="false">IFERROR(__xludf.dummyfunction("""COMPUTED_VALUE"""),1)</f>
        <v>1</v>
      </c>
      <c r="E493" s="0" t="n">
        <f aca="false">IFERROR(__xludf.dummyfunction("""COMPUTED_VALUE"""),10)</f>
        <v>10</v>
      </c>
      <c r="F493" s="0" t="str">
        <f aca="false">IFERROR(__xludf.dummyfunction("filter(Formulas!$C:$C,Formulas!$A:$A=B493)"),"""formula"":[{""sku"":""1201"",""req"":1},{""sku"":""1106"",""req"":4},{""sku"":""1210"",""req"":1},{""sku"":""1116"",""req"":1},{""sku"":""1407"",""req"":1}]")</f>
        <v>"formula":[{"sku":"1201","req":1},{"sku":"1106","req":4},{"sku":"1210","req":1},{"sku":"1116","req":1},{"sku":"1407","req":1}]</v>
      </c>
      <c r="G493" s="0" t="n">
        <f aca="false">IFERROR(__xludf.dummyfunction("""COMPUTED_VALUE"""),1)</f>
        <v>1</v>
      </c>
      <c r="H493" s="21" t="str">
        <f aca="false">IFERROR(__xludf.dummyfunction("IF(D493,filter(Productos!AC:AC,Productos!A:A=B493),)"),"cocina")</f>
        <v>cocina</v>
      </c>
      <c r="I493" s="24" t="n">
        <f aca="false">IFERROR(__xludf.dummyfunction("""COMPUTED_VALUE"""),5700)</f>
        <v>5700</v>
      </c>
      <c r="K493" s="0" t="str">
        <f aca="false">IF(D493,"{""sku"":"""&amp;B493&amp;""", ""costo"":"&amp;C493&amp;", ""grupo"":"""&amp;A493&amp;""", ""lote"":"&amp;D493&amp;", ""tiempo"":"&amp;E493&amp;", "&amp;F493&amp;", ""vencimiento"":"&amp;G493&amp;IF(I493,", ""precio"":"&amp;I493,)&amp;", ""tipo"":"""&amp;H493&amp;"""},",)</f>
        <v>{"sku":"10019", "costo":10, "grupo":"7", "lote":1, "tiempo":10, "formula":[{"sku":"1201","req":1},{"sku":"1106","req":4},{"sku":"1210","req":1},{"sku":"1116","req":1},{"sku":"1407","req":1}], "vencimiento":1, "precio":5700, "tipo":"cocina"},</v>
      </c>
    </row>
    <row r="494" customFormat="false" ht="13" hidden="false" customHeight="false" outlineLevel="0" collapsed="false">
      <c r="A494" s="16" t="n">
        <v>7</v>
      </c>
      <c r="B494" s="0" t="n">
        <f aca="false">IFERROR(__xludf.dummyfunction("""COMPUTED_VALUE"""),10020)</f>
        <v>10020</v>
      </c>
      <c r="C494" s="24" t="n">
        <f aca="false">IFERROR(__xludf.dummyfunction("""COMPUTED_VALUE"""),10)</f>
        <v>10</v>
      </c>
      <c r="D494" s="0" t="n">
        <f aca="false">IFERROR(__xludf.dummyfunction("""COMPUTED_VALUE"""),1)</f>
        <v>1</v>
      </c>
      <c r="E494" s="0" t="n">
        <f aca="false">IFERROR(__xludf.dummyfunction("""COMPUTED_VALUE"""),20)</f>
        <v>20</v>
      </c>
      <c r="F494" s="0" t="str">
        <f aca="false">IFERROR(__xludf.dummyfunction("filter(Formulas!$C:$C,Formulas!$A:$A=B494)"),"""formula"":[{""sku"":""1201"",""req"":1},{""sku"":""1116"",""req"":1},{""sku"":""1106"",""req"":4},{""sku"":""1112"",""req"":1},{""sku"":""1114"",""req"":1},{""sku"":""1407"",""req"":1}]")</f>
        <v>"formula":[{"sku":"1201","req":1},{"sku":"1116","req":1},{"sku":"1106","req":4},{"sku":"1112","req":1},{"sku":"1114","req":1},{"sku":"1407","req":1}]</v>
      </c>
      <c r="G494" s="0" t="n">
        <f aca="false">IFERROR(__xludf.dummyfunction("""COMPUTED_VALUE"""),1)</f>
        <v>1</v>
      </c>
      <c r="H494" s="21" t="str">
        <f aca="false">IFERROR(__xludf.dummyfunction("IF(D494,filter(Productos!AC:AC,Productos!A:A=B494),)"),"cocina")</f>
        <v>cocina</v>
      </c>
      <c r="I494" s="24" t="n">
        <f aca="false">IFERROR(__xludf.dummyfunction("""COMPUTED_VALUE"""),5900)</f>
        <v>5900</v>
      </c>
      <c r="K494" s="0" t="str">
        <f aca="false">IF(D494,"{""sku"":"""&amp;B494&amp;""", ""costo"":"&amp;C494&amp;", ""grupo"":"""&amp;A494&amp;""", ""lote"":"&amp;D494&amp;", ""tiempo"":"&amp;E494&amp;", "&amp;F494&amp;", ""vencimiento"":"&amp;G494&amp;IF(I494,", ""precio"":"&amp;I494,)&amp;", ""tipo"":"""&amp;H494&amp;"""},",)</f>
        <v>{"sku":"10020", "costo":10, "grupo":"7", "lote":1, "tiempo":20, "formula":[{"sku":"1201","req":1},{"sku":"1116","req":1},{"sku":"1106","req":4},{"sku":"1112","req":1},{"sku":"1114","req":1},{"sku":"1407","req":1}], "vencimiento":1, "precio":5900, "tipo":"cocina"},</v>
      </c>
    </row>
    <row r="495" customFormat="false" ht="13" hidden="false" customHeight="false" outlineLevel="0" collapsed="false">
      <c r="A495" s="17" t="n">
        <v>7</v>
      </c>
      <c r="B495" s="0" t="n">
        <f aca="false">IFERROR(__xludf.dummyfunction("""COMPUTED_VALUE"""),10021)</f>
        <v>10021</v>
      </c>
      <c r="C495" s="24" t="n">
        <f aca="false">IFERROR(__xludf.dummyfunction("""COMPUTED_VALUE"""),10)</f>
        <v>10</v>
      </c>
      <c r="D495" s="0" t="n">
        <f aca="false">IFERROR(__xludf.dummyfunction("""COMPUTED_VALUE"""),1)</f>
        <v>1</v>
      </c>
      <c r="E495" s="0" t="n">
        <f aca="false">IFERROR(__xludf.dummyfunction("""COMPUTED_VALUE"""),10)</f>
        <v>10</v>
      </c>
      <c r="F495" s="0" t="str">
        <f aca="false">IFERROR(__xludf.dummyfunction("filter(Formulas!$C:$C,Formulas!$A:$A=B495)"),"""formula"":[{""sku"":""1201"",""req"":1},{""sku"":""1116"",""req"":1},{""sku"":""1109"",""req"":1},{""sku"":""1114"",""req"":1},{""sku"":""1407"",""req"":1}]")</f>
        <v>"formula":[{"sku":"1201","req":1},{"sku":"1116","req":1},{"sku":"1109","req":1},{"sku":"1114","req":1},{"sku":"1407","req":1}]</v>
      </c>
      <c r="G495" s="0" t="n">
        <f aca="false">IFERROR(__xludf.dummyfunction("""COMPUTED_VALUE"""),1)</f>
        <v>1</v>
      </c>
      <c r="H495" s="21" t="str">
        <f aca="false">IFERROR(__xludf.dummyfunction("IF(D495,filter(Productos!AC:AC,Productos!A:A=B495),)"),"cocina")</f>
        <v>cocina</v>
      </c>
      <c r="I495" s="24" t="n">
        <f aca="false">IFERROR(__xludf.dummyfunction("""COMPUTED_VALUE"""),5900)</f>
        <v>5900</v>
      </c>
      <c r="K495" s="0" t="str">
        <f aca="false">IF(D495,"{""sku"":"""&amp;B495&amp;""", ""costo"":"&amp;C495&amp;", ""grupo"":"""&amp;A495&amp;""", ""lote"":"&amp;D495&amp;", ""tiempo"":"&amp;E495&amp;", "&amp;F495&amp;", ""vencimiento"":"&amp;G495&amp;IF(I495,", ""precio"":"&amp;I495,)&amp;", ""tipo"":"""&amp;H495&amp;"""},",)</f>
        <v>{"sku":"10021", "costo":10, "grupo":"7", "lote":1, "tiempo":10, "formula":[{"sku":"1201","req":1},{"sku":"1116","req":1},{"sku":"1109","req":1},{"sku":"1114","req":1},{"sku":"1407","req":1}], "vencimiento":1, "precio":5900, "tipo":"cocina"},</v>
      </c>
    </row>
    <row r="496" customFormat="false" ht="13" hidden="false" customHeight="false" outlineLevel="0" collapsed="false">
      <c r="A496" s="16" t="n">
        <v>7</v>
      </c>
      <c r="B496" s="0" t="n">
        <f aca="false">IFERROR(__xludf.dummyfunction("""COMPUTED_VALUE"""),10022)</f>
        <v>10022</v>
      </c>
      <c r="C496" s="24" t="n">
        <f aca="false">IFERROR(__xludf.dummyfunction("""COMPUTED_VALUE"""),10)</f>
        <v>10</v>
      </c>
      <c r="D496" s="0" t="n">
        <f aca="false">IFERROR(__xludf.dummyfunction("""COMPUTED_VALUE"""),1)</f>
        <v>1</v>
      </c>
      <c r="E496" s="0" t="n">
        <f aca="false">IFERROR(__xludf.dummyfunction("""COMPUTED_VALUE"""),20)</f>
        <v>20</v>
      </c>
      <c r="F496" s="0" t="str">
        <f aca="false">IFERROR(__xludf.dummyfunction("filter(Formulas!$C:$C,Formulas!$A:$A=B496)"),"""formula"":[{""sku"":""1201"",""req"":1},{""sku"":""1116"",""req"":1},{""sku"":""1107"",""req"":1},{""sku"":""1112"",""req"":1},{""sku"":""1210"",""req"":1},{""sku"":""1215"",""req"":1}]")</f>
        <v>"formula":[{"sku":"1201","req":1},{"sku":"1116","req":1},{"sku":"1107","req":1},{"sku":"1112","req":1},{"sku":"1210","req":1},{"sku":"1215","req":1}]</v>
      </c>
      <c r="G496" s="0" t="n">
        <f aca="false">IFERROR(__xludf.dummyfunction("""COMPUTED_VALUE"""),1)</f>
        <v>1</v>
      </c>
      <c r="H496" s="21" t="str">
        <f aca="false">IFERROR(__xludf.dummyfunction("IF(D496,filter(Productos!AC:AC,Productos!A:A=B496),)"),"cocina")</f>
        <v>cocina</v>
      </c>
      <c r="I496" s="24" t="n">
        <f aca="false">IFERROR(__xludf.dummyfunction("""COMPUTED_VALUE"""),5500)</f>
        <v>5500</v>
      </c>
      <c r="K496" s="0" t="str">
        <f aca="false">IF(D496,"{""sku"":"""&amp;B496&amp;""", ""costo"":"&amp;C496&amp;", ""grupo"":"""&amp;A496&amp;""", ""lote"":"&amp;D496&amp;", ""tiempo"":"&amp;E496&amp;", "&amp;F496&amp;", ""vencimiento"":"&amp;G496&amp;IF(I496,", ""precio"":"&amp;I496,)&amp;", ""tipo"":"""&amp;H496&amp;"""},",)</f>
        <v>{"sku":"10022", "costo":10, "grupo":"7", "lote":1, "tiempo":20, "formula":[{"sku":"1201","req":1},{"sku":"1116","req":1},{"sku":"1107","req":1},{"sku":"1112","req":1},{"sku":"1210","req":1},{"sku":"1215","req":1}], "vencimiento":1, "precio":5500, "tipo":"cocina"},</v>
      </c>
    </row>
    <row r="497" customFormat="false" ht="13" hidden="false" customHeight="false" outlineLevel="0" collapsed="false">
      <c r="A497" s="17" t="n">
        <v>7</v>
      </c>
      <c r="B497" s="0" t="n">
        <f aca="false">IFERROR(__xludf.dummyfunction("""COMPUTED_VALUE"""),10023)</f>
        <v>10023</v>
      </c>
      <c r="C497" s="24" t="n">
        <f aca="false">IFERROR(__xludf.dummyfunction("""COMPUTED_VALUE"""),10)</f>
        <v>10</v>
      </c>
      <c r="D497" s="0" t="n">
        <f aca="false">IFERROR(__xludf.dummyfunction("""COMPUTED_VALUE"""),1)</f>
        <v>1</v>
      </c>
      <c r="E497" s="0" t="n">
        <f aca="false">IFERROR(__xludf.dummyfunction("""COMPUTED_VALUE"""),20)</f>
        <v>20</v>
      </c>
      <c r="F497" s="0" t="str">
        <f aca="false">IFERROR(__xludf.dummyfunction("filter(Formulas!$C:$C,Formulas!$A:$A=B497)"),"""formula"":[{""sku"":""1201"",""req"":1},{""sku"":""1116"",""req"":1},{""sku"":""1109"",""req"":1},{""sku"":""1112"",""req"":1},{""sku"":""1210"",""req"":1},{""sku"":""1215"",""req"":1}]")</f>
        <v>"formula":[{"sku":"1201","req":1},{"sku":"1116","req":1},{"sku":"1109","req":1},{"sku":"1112","req":1},{"sku":"1210","req":1},{"sku":"1215","req":1}]</v>
      </c>
      <c r="G497" s="0" t="n">
        <f aca="false">IFERROR(__xludf.dummyfunction("""COMPUTED_VALUE"""),1)</f>
        <v>1</v>
      </c>
      <c r="H497" s="21" t="str">
        <f aca="false">IFERROR(__xludf.dummyfunction("IF(D497,filter(Productos!AC:AC,Productos!A:A=B497),)"),"cocina")</f>
        <v>cocina</v>
      </c>
      <c r="I497" s="24" t="n">
        <f aca="false">IFERROR(__xludf.dummyfunction("""COMPUTED_VALUE"""),5500)</f>
        <v>5500</v>
      </c>
      <c r="K497" s="0" t="str">
        <f aca="false">IF(D497,"{""sku"":"""&amp;B497&amp;""", ""costo"":"&amp;C497&amp;", ""grupo"":"""&amp;A497&amp;""", ""lote"":"&amp;D497&amp;", ""tiempo"":"&amp;E497&amp;", "&amp;F497&amp;", ""vencimiento"":"&amp;G497&amp;IF(I497,", ""precio"":"&amp;I497,)&amp;", ""tipo"":"""&amp;H497&amp;"""},",)</f>
        <v>{"sku":"10023", "costo":10, "grupo":"7", "lote":1, "tiempo":20, "formula":[{"sku":"1201","req":1},{"sku":"1116","req":1},{"sku":"1109","req":1},{"sku":"1112","req":1},{"sku":"1210","req":1},{"sku":"1215","req":1}], "vencimiento":1, "precio":5500, "tipo":"cocina"},</v>
      </c>
    </row>
    <row r="498" customFormat="false" ht="13" hidden="false" customHeight="false" outlineLevel="0" collapsed="false">
      <c r="A498" s="16" t="n">
        <v>7</v>
      </c>
      <c r="B498" s="0" t="n">
        <f aca="false">IFERROR(__xludf.dummyfunction("""COMPUTED_VALUE"""),10024)</f>
        <v>10024</v>
      </c>
      <c r="C498" s="24" t="n">
        <f aca="false">IFERROR(__xludf.dummyfunction("""COMPUTED_VALUE"""),10)</f>
        <v>10</v>
      </c>
      <c r="D498" s="0" t="n">
        <f aca="false">IFERROR(__xludf.dummyfunction("""COMPUTED_VALUE"""),1)</f>
        <v>1</v>
      </c>
      <c r="E498" s="0" t="n">
        <f aca="false">IFERROR(__xludf.dummyfunction("""COMPUTED_VALUE"""),20)</f>
        <v>20</v>
      </c>
      <c r="F498" s="0" t="str">
        <f aca="false">IFERROR(__xludf.dummyfunction("filter(Formulas!$C:$C,Formulas!$A:$A=B498)"),"""formula"":[{""sku"":""1201"",""req"":1},{""sku"":""1116"",""req"":1},{""sku"":""1210"",""req"":1},{""sku"":""1114"",""req"":1},{""sku"":""1115"",""req"":1},{""sku"":""1211"",""req"":1}]")</f>
        <v>"formula":[{"sku":"1201","req":1},{"sku":"1116","req":1},{"sku":"1210","req":1},{"sku":"1114","req":1},{"sku":"1115","req":1},{"sku":"1211","req":1}]</v>
      </c>
      <c r="G498" s="0" t="n">
        <f aca="false">IFERROR(__xludf.dummyfunction("""COMPUTED_VALUE"""),1)</f>
        <v>1</v>
      </c>
      <c r="H498" s="21" t="str">
        <f aca="false">IFERROR(__xludf.dummyfunction("IF(D498,filter(Productos!AC:AC,Productos!A:A=B498),)"),"cocina")</f>
        <v>cocina</v>
      </c>
      <c r="I498" s="24" t="n">
        <f aca="false">IFERROR(__xludf.dummyfunction("""COMPUTED_VALUE"""),4900)</f>
        <v>4900</v>
      </c>
      <c r="K498" s="0" t="str">
        <f aca="false">IF(D498,"{""sku"":"""&amp;B498&amp;""", ""costo"":"&amp;C498&amp;", ""grupo"":"""&amp;A498&amp;""", ""lote"":"&amp;D498&amp;", ""tiempo"":"&amp;E498&amp;", "&amp;F498&amp;", ""vencimiento"":"&amp;G498&amp;IF(I498,", ""precio"":"&amp;I498,)&amp;", ""tipo"":"""&amp;H498&amp;"""},",)</f>
        <v>{"sku":"10024", "costo":10, "grupo":"7", "lote":1, "tiempo":20, "formula":[{"sku":"1201","req":1},{"sku":"1116","req":1},{"sku":"1210","req":1},{"sku":"1114","req":1},{"sku":"1115","req":1},{"sku":"1211","req":1}], "vencimiento":1, "precio":4900, "tipo":"cocina"},</v>
      </c>
    </row>
    <row r="499" customFormat="false" ht="13" hidden="false" customHeight="false" outlineLevel="0" collapsed="false">
      <c r="A499" s="17" t="n">
        <v>7</v>
      </c>
      <c r="B499" s="0" t="n">
        <f aca="false">IFERROR(__xludf.dummyfunction("""COMPUTED_VALUE"""),10025)</f>
        <v>10025</v>
      </c>
      <c r="C499" s="24" t="n">
        <f aca="false">IFERROR(__xludf.dummyfunction("""COMPUTED_VALUE"""),10)</f>
        <v>10</v>
      </c>
      <c r="D499" s="0" t="n">
        <f aca="false">IFERROR(__xludf.dummyfunction("""COMPUTED_VALUE"""),1)</f>
        <v>1</v>
      </c>
      <c r="E499" s="0" t="n">
        <f aca="false">IFERROR(__xludf.dummyfunction("""COMPUTED_VALUE"""),20)</f>
        <v>20</v>
      </c>
      <c r="F499" s="0" t="str">
        <f aca="false">IFERROR(__xludf.dummyfunction("filter(Formulas!$C:$C,Formulas!$A:$A=B499)"),"""formula"":[{""sku"":""1201"",""req"":1},{""sku"":""1116"",""req"":1},{""sku"":""1210"",""req"":1},{""sku"":""1114"",""req"":1},{""sku"":""1115"",""req"":1},{""sku"":""1013"",""req"":5}]")</f>
        <v>"formula":[{"sku":"1201","req":1},{"sku":"1116","req":1},{"sku":"1210","req":1},{"sku":"1114","req":1},{"sku":"1115","req":1},{"sku":"1013","req":5}]</v>
      </c>
      <c r="G499" s="0" t="n">
        <f aca="false">IFERROR(__xludf.dummyfunction("""COMPUTED_VALUE"""),1)</f>
        <v>1</v>
      </c>
      <c r="H499" s="21" t="str">
        <f aca="false">IFERROR(__xludf.dummyfunction("IF(D499,filter(Productos!AC:AC,Productos!A:A=B499),)"),"cocina")</f>
        <v>cocina</v>
      </c>
      <c r="I499" s="24" t="n">
        <f aca="false">IFERROR(__xludf.dummyfunction("""COMPUTED_VALUE"""),4900)</f>
        <v>4900</v>
      </c>
      <c r="K499" s="0" t="str">
        <f aca="false">IF(D499,"{""sku"":"""&amp;B499&amp;""", ""costo"":"&amp;C499&amp;", ""grupo"":"""&amp;A499&amp;""", ""lote"":"&amp;D499&amp;", ""tiempo"":"&amp;E499&amp;", "&amp;F499&amp;", ""vencimiento"":"&amp;G499&amp;IF(I499,", ""precio"":"&amp;I499,)&amp;", ""tipo"":"""&amp;H499&amp;"""},",)</f>
        <v>{"sku":"10025", "costo":10, "grupo":"7", "lote":1, "tiempo":20, "formula":[{"sku":"1201","req":1},{"sku":"1116","req":1},{"sku":"1210","req":1},{"sku":"1114","req":1},{"sku":"1115","req":1},{"sku":"1013","req":5}], "vencimiento":1, "precio":4900, "tipo":"cocina"},</v>
      </c>
    </row>
    <row r="500" customFormat="false" ht="13" hidden="false" customHeight="false" outlineLevel="0" collapsed="false">
      <c r="A500" s="16" t="n">
        <v>7</v>
      </c>
      <c r="B500" s="0" t="n">
        <f aca="false">IFERROR(__xludf.dummyfunction("""COMPUTED_VALUE"""),20001)</f>
        <v>20001</v>
      </c>
      <c r="C500" s="24" t="n">
        <f aca="false">IFERROR(__xludf.dummyfunction("""COMPUTED_VALUE"""),10)</f>
        <v>10</v>
      </c>
      <c r="D500" s="0" t="n">
        <f aca="false">IFERROR(__xludf.dummyfunction("""COMPUTED_VALUE"""),1)</f>
        <v>1</v>
      </c>
      <c r="E500" s="0" t="n">
        <f aca="false">IFERROR(__xludf.dummyfunction("""COMPUTED_VALUE"""),10)</f>
        <v>10</v>
      </c>
      <c r="F500" s="0" t="str">
        <f aca="false">IFERROR(__xludf.dummyfunction("filter(Formulas!$C:$C,Formulas!$A:$A=B500)"),"""formula"":[{""sku"":""1301"",""req"":1},{""sku"":""1207"",""req"":1},{""sku"":""1310"",""req"":1},{""sku"":""1112"",""req"":1},{""sku"":""1216"",""req"":1}]")</f>
        <v>"formula":[{"sku":"1301","req":1},{"sku":"1207","req":1},{"sku":"1310","req":1},{"sku":"1112","req":1},{"sku":"1216","req":1}]</v>
      </c>
      <c r="G500" s="0" t="n">
        <f aca="false">IFERROR(__xludf.dummyfunction("""COMPUTED_VALUE"""),1)</f>
        <v>1</v>
      </c>
      <c r="H500" s="21" t="str">
        <f aca="false">IFERROR(__xludf.dummyfunction("IF(D500,filter(Productos!AC:AC,Productos!A:A=B500),)"),"cocina")</f>
        <v>cocina</v>
      </c>
      <c r="I500" s="24" t="n">
        <f aca="false">IFERROR(__xludf.dummyfunction("""COMPUTED_VALUE"""),2700)</f>
        <v>2700</v>
      </c>
      <c r="K500" s="0" t="str">
        <f aca="false">IF(D500,"{""sku"":"""&amp;B500&amp;""", ""costo"":"&amp;C500&amp;", ""grupo"":"""&amp;A500&amp;""", ""lote"":"&amp;D500&amp;", ""tiempo"":"&amp;E500&amp;", "&amp;F500&amp;", ""vencimiento"":"&amp;G500&amp;IF(I500,", ""precio"":"&amp;I500,)&amp;", ""tipo"":"""&amp;H500&amp;"""},",)</f>
        <v>{"sku":"20001", "costo":10, "grupo":"7", "lote":1, "tiempo":10, "formula":[{"sku":"1301","req":1},{"sku":"1207","req":1},{"sku":"1310","req":1},{"sku":"1112","req":1},{"sku":"1216","req":1}], "vencimiento":1, "precio":2700, "tipo":"cocina"},</v>
      </c>
    </row>
    <row r="501" customFormat="false" ht="13" hidden="false" customHeight="false" outlineLevel="0" collapsed="false">
      <c r="A501" s="17" t="n">
        <v>7</v>
      </c>
      <c r="B501" s="0" t="n">
        <f aca="false">IFERROR(__xludf.dummyfunction("""COMPUTED_VALUE"""),20002)</f>
        <v>20002</v>
      </c>
      <c r="C501" s="24" t="n">
        <f aca="false">IFERROR(__xludf.dummyfunction("""COMPUTED_VALUE"""),10)</f>
        <v>10</v>
      </c>
      <c r="D501" s="0" t="n">
        <f aca="false">IFERROR(__xludf.dummyfunction("""COMPUTED_VALUE"""),1)</f>
        <v>1</v>
      </c>
      <c r="E501" s="0" t="n">
        <f aca="false">IFERROR(__xludf.dummyfunction("""COMPUTED_VALUE"""),10)</f>
        <v>10</v>
      </c>
      <c r="F501" s="0" t="str">
        <f aca="false">IFERROR(__xludf.dummyfunction("filter(Formulas!$C:$C,Formulas!$A:$A=B501)"),"""formula"":[{""sku"":""1301"",""req"":1},{""sku"":""1216"",""req"":1},{""sku"":""1106"",""req"":4}]")</f>
        <v>"formula":[{"sku":"1301","req":1},{"sku":"1216","req":1},{"sku":"1106","req":4}]</v>
      </c>
      <c r="G501" s="0" t="n">
        <f aca="false">IFERROR(__xludf.dummyfunction("""COMPUTED_VALUE"""),1)</f>
        <v>1</v>
      </c>
      <c r="H501" s="21" t="str">
        <f aca="false">IFERROR(__xludf.dummyfunction("IF(D501,filter(Productos!AC:AC,Productos!A:A=B501),)"),"cocina")</f>
        <v>cocina</v>
      </c>
      <c r="I501" s="24" t="n">
        <f aca="false">IFERROR(__xludf.dummyfunction("""COMPUTED_VALUE"""),2700)</f>
        <v>2700</v>
      </c>
      <c r="K501" s="0" t="str">
        <f aca="false">IF(D501,"{""sku"":"""&amp;B501&amp;""", ""costo"":"&amp;C501&amp;", ""grupo"":"""&amp;A501&amp;""", ""lote"":"&amp;D501&amp;", ""tiempo"":"&amp;E501&amp;", "&amp;F501&amp;", ""vencimiento"":"&amp;G501&amp;IF(I501,", ""precio"":"&amp;I501,)&amp;", ""tipo"":"""&amp;H501&amp;"""},",)</f>
        <v>{"sku":"20002", "costo":10, "grupo":"7", "lote":1, "tiempo":10, "formula":[{"sku":"1301","req":1},{"sku":"1216","req":1},{"sku":"1106","req":4}], "vencimiento":1, "precio":2700, "tipo":"cocina"},</v>
      </c>
    </row>
    <row r="502" customFormat="false" ht="13" hidden="false" customHeight="false" outlineLevel="0" collapsed="false">
      <c r="A502" s="16" t="n">
        <v>7</v>
      </c>
      <c r="B502" s="0" t="n">
        <f aca="false">IFERROR(__xludf.dummyfunction("""COMPUTED_VALUE"""),20003)</f>
        <v>20003</v>
      </c>
      <c r="C502" s="24" t="n">
        <f aca="false">IFERROR(__xludf.dummyfunction("""COMPUTED_VALUE"""),10)</f>
        <v>10</v>
      </c>
      <c r="D502" s="0" t="n">
        <f aca="false">IFERROR(__xludf.dummyfunction("""COMPUTED_VALUE"""),1)</f>
        <v>1</v>
      </c>
      <c r="E502" s="0" t="n">
        <f aca="false">IFERROR(__xludf.dummyfunction("""COMPUTED_VALUE"""),10)</f>
        <v>10</v>
      </c>
      <c r="F502" s="0" t="str">
        <f aca="false">IFERROR(__xludf.dummyfunction("filter(Formulas!$C:$C,Formulas!$A:$A=B502)"),"""formula"":[{""sku"":""1301"",""req"":1},{""sku"":""1216"",""req"":1},{""sku"":""1207"",""req"":1}]")</f>
        <v>"formula":[{"sku":"1301","req":1},{"sku":"1216","req":1},{"sku":"1207","req":1}]</v>
      </c>
      <c r="G502" s="0" t="n">
        <f aca="false">IFERROR(__xludf.dummyfunction("""COMPUTED_VALUE"""),1)</f>
        <v>1</v>
      </c>
      <c r="H502" s="21" t="str">
        <f aca="false">IFERROR(__xludf.dummyfunction("IF(D502,filter(Productos!AC:AC,Productos!A:A=B502),)"),"cocina")</f>
        <v>cocina</v>
      </c>
      <c r="I502" s="24" t="n">
        <f aca="false">IFERROR(__xludf.dummyfunction("""COMPUTED_VALUE"""),2700)</f>
        <v>2700</v>
      </c>
      <c r="K502" s="0" t="str">
        <f aca="false">IF(D502,"{""sku"":"""&amp;B502&amp;""", ""costo"":"&amp;C502&amp;", ""grupo"":"""&amp;A502&amp;""", ""lote"":"&amp;D502&amp;", ""tiempo"":"&amp;E502&amp;", "&amp;F502&amp;", ""vencimiento"":"&amp;G502&amp;IF(I502,", ""precio"":"&amp;I502,)&amp;", ""tipo"":"""&amp;H502&amp;"""},",)</f>
        <v>{"sku":"20003", "costo":10, "grupo":"7", "lote":1, "tiempo":10, "formula":[{"sku":"1301","req":1},{"sku":"1216","req":1},{"sku":"1207","req":1}], "vencimiento":1, "precio":2700, "tipo":"cocina"},</v>
      </c>
    </row>
    <row r="503" customFormat="false" ht="13" hidden="false" customHeight="false" outlineLevel="0" collapsed="false">
      <c r="A503" s="17" t="n">
        <v>7</v>
      </c>
      <c r="B503" s="0" t="n">
        <f aca="false">IFERROR(__xludf.dummyfunction("""COMPUTED_VALUE"""),20004)</f>
        <v>20004</v>
      </c>
      <c r="C503" s="24" t="n">
        <f aca="false">IFERROR(__xludf.dummyfunction("""COMPUTED_VALUE"""),10)</f>
        <v>10</v>
      </c>
      <c r="D503" s="0" t="n">
        <f aca="false">IFERROR(__xludf.dummyfunction("""COMPUTED_VALUE"""),1)</f>
        <v>1</v>
      </c>
      <c r="E503" s="0" t="n">
        <f aca="false">IFERROR(__xludf.dummyfunction("""COMPUTED_VALUE"""),10)</f>
        <v>10</v>
      </c>
      <c r="F503" s="0" t="str">
        <f aca="false">IFERROR(__xludf.dummyfunction("filter(Formulas!$C:$C,Formulas!$A:$A=B503)"),"""formula"":[{""sku"":""1301"",""req"":1},{""sku"":""1216"",""req"":1},{""sku"":""1209"",""req"":1}]")</f>
        <v>"formula":[{"sku":"1301","req":1},{"sku":"1216","req":1},{"sku":"1209","req":1}]</v>
      </c>
      <c r="G503" s="0" t="n">
        <f aca="false">IFERROR(__xludf.dummyfunction("""COMPUTED_VALUE"""),1)</f>
        <v>1</v>
      </c>
      <c r="H503" s="21" t="str">
        <f aca="false">IFERROR(__xludf.dummyfunction("IF(D503,filter(Productos!AC:AC,Productos!A:A=B503),)"),"cocina")</f>
        <v>cocina</v>
      </c>
      <c r="I503" s="24" t="n">
        <f aca="false">IFERROR(__xludf.dummyfunction("""COMPUTED_VALUE"""),2700)</f>
        <v>2700</v>
      </c>
      <c r="K503" s="0" t="str">
        <f aca="false">IF(D503,"{""sku"":"""&amp;B503&amp;""", ""costo"":"&amp;C503&amp;", ""grupo"":"""&amp;A503&amp;""", ""lote"":"&amp;D503&amp;", ""tiempo"":"&amp;E503&amp;", "&amp;F503&amp;", ""vencimiento"":"&amp;G503&amp;IF(I503,", ""precio"":"&amp;I503,)&amp;", ""tipo"":"""&amp;H503&amp;"""},",)</f>
        <v>{"sku":"20004", "costo":10, "grupo":"7", "lote":1, "tiempo":10, "formula":[{"sku":"1301","req":1},{"sku":"1216","req":1},{"sku":"1209","req":1}], "vencimiento":1, "precio":2700, "tipo":"cocina"},</v>
      </c>
    </row>
    <row r="504" customFormat="false" ht="13" hidden="false" customHeight="false" outlineLevel="0" collapsed="false">
      <c r="A504" s="16" t="n">
        <v>7</v>
      </c>
      <c r="B504" s="0" t="n">
        <f aca="false">IFERROR(__xludf.dummyfunction("""COMPUTED_VALUE"""),20005)</f>
        <v>20005</v>
      </c>
      <c r="C504" s="24" t="n">
        <f aca="false">IFERROR(__xludf.dummyfunction("""COMPUTED_VALUE"""),10)</f>
        <v>10</v>
      </c>
      <c r="D504" s="0" t="n">
        <f aca="false">IFERROR(__xludf.dummyfunction("""COMPUTED_VALUE"""),1)</f>
        <v>1</v>
      </c>
      <c r="E504" s="0" t="n">
        <f aca="false">IFERROR(__xludf.dummyfunction("""COMPUTED_VALUE"""),20)</f>
        <v>20</v>
      </c>
      <c r="F504" s="0" t="str">
        <f aca="false">IFERROR(__xludf.dummyfunction("filter(Formulas!$C:$C,Formulas!$A:$A=B504)"),"""formula"":[{""sku"":""1301"",""req"":1},{""sku"":""1216"",""req"":1},{""sku"":""1209"",""req"":1},{""sku"":""1310"",""req"":1},{""sku"":""1112"",""req"":1}]")</f>
        <v>"formula":[{"sku":"1301","req":1},{"sku":"1216","req":1},{"sku":"1209","req":1},{"sku":"1310","req":1},{"sku":"1112","req":1}]</v>
      </c>
      <c r="G504" s="0" t="n">
        <f aca="false">IFERROR(__xludf.dummyfunction("""COMPUTED_VALUE"""),1)</f>
        <v>1</v>
      </c>
      <c r="H504" s="21" t="str">
        <f aca="false">IFERROR(__xludf.dummyfunction("IF(D504,filter(Productos!AC:AC,Productos!A:A=B504),)"),"cocina")</f>
        <v>cocina</v>
      </c>
      <c r="I504" s="24" t="n">
        <f aca="false">IFERROR(__xludf.dummyfunction("""COMPUTED_VALUE"""),2700)</f>
        <v>2700</v>
      </c>
      <c r="K504" s="0" t="str">
        <f aca="false">IF(D504,"{""sku"":"""&amp;B504&amp;""", ""costo"":"&amp;C504&amp;", ""grupo"":"""&amp;A504&amp;""", ""lote"":"&amp;D504&amp;", ""tiempo"":"&amp;E504&amp;", "&amp;F504&amp;", ""vencimiento"":"&amp;G504&amp;IF(I504,", ""precio"":"&amp;I504,)&amp;", ""tipo"":"""&amp;H504&amp;"""},",)</f>
        <v>{"sku":"20005", "costo":10, "grupo":"7", "lote":1, "tiempo":20, "formula":[{"sku":"1301","req":1},{"sku":"1216","req":1},{"sku":"1209","req":1},{"sku":"1310","req":1},{"sku":"1112","req":1}], "vencimiento":1, "precio":2700, "tipo":"cocina"},</v>
      </c>
    </row>
    <row r="505" customFormat="false" ht="13" hidden="false" customHeight="false" outlineLevel="0" collapsed="false">
      <c r="A505" s="17" t="n">
        <v>7</v>
      </c>
      <c r="B505" s="0" t="n">
        <f aca="false">IFERROR(__xludf.dummyfunction("""COMPUTED_VALUE"""),30001)</f>
        <v>30001</v>
      </c>
      <c r="C505" s="24" t="n">
        <f aca="false">IFERROR(__xludf.dummyfunction("""COMPUTED_VALUE"""),10)</f>
        <v>10</v>
      </c>
      <c r="D505" s="0" t="n">
        <f aca="false">IFERROR(__xludf.dummyfunction("""COMPUTED_VALUE"""),1)</f>
        <v>1</v>
      </c>
      <c r="E505" s="0" t="n">
        <f aca="false">IFERROR(__xludf.dummyfunction("""COMPUTED_VALUE"""),10)</f>
        <v>10</v>
      </c>
      <c r="F505" s="0" t="str">
        <f aca="false">IFERROR(__xludf.dummyfunction("filter(Formulas!$C:$C,Formulas!$A:$A=B505)"),"""formula"":[{""sku"":""1307"",""req"":3}]")</f>
        <v>"formula":[{"sku":"1307","req":3}]</v>
      </c>
      <c r="G505" s="0" t="n">
        <f aca="false">IFERROR(__xludf.dummyfunction("""COMPUTED_VALUE"""),1)</f>
        <v>1</v>
      </c>
      <c r="H505" s="21" t="str">
        <f aca="false">IFERROR(__xludf.dummyfunction("IF(D505,filter(Productos!AC:AC,Productos!A:A=B505),)"),"cocina")</f>
        <v>cocina</v>
      </c>
      <c r="I505" s="24" t="n">
        <f aca="false">IFERROR(__xludf.dummyfunction("""COMPUTED_VALUE"""),7900)</f>
        <v>7900</v>
      </c>
      <c r="K505" s="0" t="str">
        <f aca="false">IF(D505,"{""sku"":"""&amp;B505&amp;""", ""costo"":"&amp;C505&amp;", ""grupo"":"""&amp;A505&amp;""", ""lote"":"&amp;D505&amp;", ""tiempo"":"&amp;E505&amp;", "&amp;F505&amp;", ""vencimiento"":"&amp;G505&amp;IF(I505,", ""precio"":"&amp;I505,)&amp;", ""tipo"":"""&amp;H505&amp;"""},",)</f>
        <v>{"sku":"30001", "costo":10, "grupo":"7", "lote":1, "tiempo":10, "formula":[{"sku":"1307","req":3}], "vencimiento":1, "precio":7900, "tipo":"cocina"},</v>
      </c>
    </row>
    <row r="506" customFormat="false" ht="13" hidden="false" customHeight="false" outlineLevel="0" collapsed="false">
      <c r="A506" s="16" t="n">
        <v>7</v>
      </c>
      <c r="B506" s="0" t="n">
        <f aca="false">IFERROR(__xludf.dummyfunction("""COMPUTED_VALUE"""),30002)</f>
        <v>30002</v>
      </c>
      <c r="C506" s="24" t="n">
        <f aca="false">IFERROR(__xludf.dummyfunction("""COMPUTED_VALUE"""),10)</f>
        <v>10</v>
      </c>
      <c r="D506" s="0" t="n">
        <f aca="false">IFERROR(__xludf.dummyfunction("""COMPUTED_VALUE"""),1)</f>
        <v>1</v>
      </c>
      <c r="E506" s="0" t="n">
        <f aca="false">IFERROR(__xludf.dummyfunction("""COMPUTED_VALUE"""),10)</f>
        <v>10</v>
      </c>
      <c r="F506" s="0" t="str">
        <f aca="false">IFERROR(__xludf.dummyfunction("filter(Formulas!$C:$C,Formulas!$A:$A=B506)"),"""formula"":[{""sku"":""1307"",""req"":4}]")</f>
        <v>"formula":[{"sku":"1307","req":4}]</v>
      </c>
      <c r="G506" s="0" t="n">
        <f aca="false">IFERROR(__xludf.dummyfunction("""COMPUTED_VALUE"""),1)</f>
        <v>1</v>
      </c>
      <c r="H506" s="21" t="str">
        <f aca="false">IFERROR(__xludf.dummyfunction("IF(D506,filter(Productos!AC:AC,Productos!A:A=B506),)"),"cocina")</f>
        <v>cocina</v>
      </c>
      <c r="I506" s="24" t="n">
        <f aca="false">IFERROR(__xludf.dummyfunction("""COMPUTED_VALUE"""),9900)</f>
        <v>9900</v>
      </c>
      <c r="K506" s="0" t="str">
        <f aca="false">IF(D506,"{""sku"":"""&amp;B506&amp;""", ""costo"":"&amp;C506&amp;", ""grupo"":"""&amp;A506&amp;""", ""lote"":"&amp;D506&amp;", ""tiempo"":"&amp;E506&amp;", "&amp;F506&amp;", ""vencimiento"":"&amp;G506&amp;IF(I506,", ""precio"":"&amp;I506,)&amp;", ""tipo"":"""&amp;H506&amp;"""},",)</f>
        <v>{"sku":"30002", "costo":10, "grupo":"7", "lote":1, "tiempo":10, "formula":[{"sku":"1307","req":4}], "vencimiento":1, "precio":9900, "tipo":"cocina"},</v>
      </c>
    </row>
    <row r="507" customFormat="false" ht="13" hidden="false" customHeight="false" outlineLevel="0" collapsed="false">
      <c r="A507" s="17" t="n">
        <v>7</v>
      </c>
      <c r="B507" s="0" t="n">
        <f aca="false">IFERROR(__xludf.dummyfunction("""COMPUTED_VALUE"""),30003)</f>
        <v>30003</v>
      </c>
      <c r="C507" s="24" t="n">
        <f aca="false">IFERROR(__xludf.dummyfunction("""COMPUTED_VALUE"""),10)</f>
        <v>10</v>
      </c>
      <c r="D507" s="0" t="n">
        <f aca="false">IFERROR(__xludf.dummyfunction("""COMPUTED_VALUE"""),1)</f>
        <v>1</v>
      </c>
      <c r="E507" s="0" t="n">
        <f aca="false">IFERROR(__xludf.dummyfunction("""COMPUTED_VALUE"""),10)</f>
        <v>10</v>
      </c>
      <c r="F507" s="0" t="str">
        <f aca="false">IFERROR(__xludf.dummyfunction("filter(Formulas!$C:$C,Formulas!$A:$A=B507)"),"""formula"":[{""sku"":""1307"",""req"":5}]")</f>
        <v>"formula":[{"sku":"1307","req":5}]</v>
      </c>
      <c r="G507" s="0" t="n">
        <f aca="false">IFERROR(__xludf.dummyfunction("""COMPUTED_VALUE"""),1)</f>
        <v>1</v>
      </c>
      <c r="H507" s="21" t="str">
        <f aca="false">IFERROR(__xludf.dummyfunction("IF(D507,filter(Productos!AC:AC,Productos!A:A=B507),)"),"cocina")</f>
        <v>cocina</v>
      </c>
      <c r="I507" s="24" t="n">
        <f aca="false">IFERROR(__xludf.dummyfunction("""COMPUTED_VALUE"""),12500)</f>
        <v>12500</v>
      </c>
      <c r="K507" s="0" t="str">
        <f aca="false">IF(D507,"{""sku"":"""&amp;B507&amp;""", ""costo"":"&amp;C507&amp;", ""grupo"":"""&amp;A507&amp;""", ""lote"":"&amp;D507&amp;", ""tiempo"":"&amp;E507&amp;", "&amp;F507&amp;", ""vencimiento"":"&amp;G507&amp;IF(I507,", ""precio"":"&amp;I507,)&amp;", ""tipo"":"""&amp;H507&amp;"""},",)</f>
        <v>{"sku":"30003", "costo":10, "grupo":"7", "lote":1, "tiempo":10, "formula":[{"sku":"1307","req":5}], "vencimiento":1, "precio":12500, "tipo":"cocina"},</v>
      </c>
    </row>
    <row r="508" customFormat="false" ht="13" hidden="false" customHeight="false" outlineLevel="0" collapsed="false">
      <c r="A508" s="16" t="n">
        <v>7</v>
      </c>
      <c r="B508" s="0" t="n">
        <f aca="false">IFERROR(__xludf.dummyfunction("""COMPUTED_VALUE"""),30004)</f>
        <v>30004</v>
      </c>
      <c r="C508" s="24" t="n">
        <f aca="false">IFERROR(__xludf.dummyfunction("""COMPUTED_VALUE"""),10)</f>
        <v>10</v>
      </c>
      <c r="D508" s="0" t="n">
        <f aca="false">IFERROR(__xludf.dummyfunction("""COMPUTED_VALUE"""),1)</f>
        <v>1</v>
      </c>
      <c r="E508" s="0" t="n">
        <f aca="false">IFERROR(__xludf.dummyfunction("""COMPUTED_VALUE"""),10)</f>
        <v>10</v>
      </c>
      <c r="F508" s="0" t="str">
        <f aca="false">IFERROR(__xludf.dummyfunction("filter(Formulas!$C:$C,Formulas!$A:$A=B508)"),"""formula"":[{""sku"":""1309"",""req"":3}]")</f>
        <v>"formula":[{"sku":"1309","req":3}]</v>
      </c>
      <c r="G508" s="0" t="n">
        <f aca="false">IFERROR(__xludf.dummyfunction("""COMPUTED_VALUE"""),1)</f>
        <v>1</v>
      </c>
      <c r="H508" s="21" t="str">
        <f aca="false">IFERROR(__xludf.dummyfunction("IF(D508,filter(Productos!AC:AC,Productos!A:A=B508),)"),"cocina")</f>
        <v>cocina</v>
      </c>
      <c r="I508" s="24" t="n">
        <f aca="false">IFERROR(__xludf.dummyfunction("""COMPUTED_VALUE"""),7900)</f>
        <v>7900</v>
      </c>
      <c r="K508" s="0" t="str">
        <f aca="false">IF(D508,"{""sku"":"""&amp;B508&amp;""", ""costo"":"&amp;C508&amp;", ""grupo"":"""&amp;A508&amp;""", ""lote"":"&amp;D508&amp;", ""tiempo"":"&amp;E508&amp;", "&amp;F508&amp;", ""vencimiento"":"&amp;G508&amp;IF(I508,", ""precio"":"&amp;I508,)&amp;", ""tipo"":"""&amp;H508&amp;"""},",)</f>
        <v>{"sku":"30004", "costo":10, "grupo":"7", "lote":1, "tiempo":10, "formula":[{"sku":"1309","req":3}], "vencimiento":1, "precio":7900, "tipo":"cocina"},</v>
      </c>
    </row>
    <row r="509" customFormat="false" ht="13" hidden="false" customHeight="false" outlineLevel="0" collapsed="false">
      <c r="A509" s="17" t="n">
        <v>7</v>
      </c>
      <c r="B509" s="0" t="n">
        <f aca="false">IFERROR(__xludf.dummyfunction("""COMPUTED_VALUE"""),30005)</f>
        <v>30005</v>
      </c>
      <c r="C509" s="24" t="n">
        <f aca="false">IFERROR(__xludf.dummyfunction("""COMPUTED_VALUE"""),10)</f>
        <v>10</v>
      </c>
      <c r="D509" s="0" t="n">
        <f aca="false">IFERROR(__xludf.dummyfunction("""COMPUTED_VALUE"""),1)</f>
        <v>1</v>
      </c>
      <c r="E509" s="0" t="n">
        <f aca="false">IFERROR(__xludf.dummyfunction("""COMPUTED_VALUE"""),10)</f>
        <v>10</v>
      </c>
      <c r="F509" s="0" t="str">
        <f aca="false">IFERROR(__xludf.dummyfunction("filter(Formulas!$C:$C,Formulas!$A:$A=B509)"),"""formula"":[{""sku"":""1309"",""req"":4}]")</f>
        <v>"formula":[{"sku":"1309","req":4}]</v>
      </c>
      <c r="G509" s="0" t="n">
        <f aca="false">IFERROR(__xludf.dummyfunction("""COMPUTED_VALUE"""),1)</f>
        <v>1</v>
      </c>
      <c r="H509" s="21" t="str">
        <f aca="false">IFERROR(__xludf.dummyfunction("IF(D509,filter(Productos!AC:AC,Productos!A:A=B509),)"),"cocina")</f>
        <v>cocina</v>
      </c>
      <c r="I509" s="24" t="n">
        <f aca="false">IFERROR(__xludf.dummyfunction("""COMPUTED_VALUE"""),9900)</f>
        <v>9900</v>
      </c>
      <c r="K509" s="0" t="str">
        <f aca="false">IF(D509,"{""sku"":"""&amp;B509&amp;""", ""costo"":"&amp;C509&amp;", ""grupo"":"""&amp;A509&amp;""", ""lote"":"&amp;D509&amp;", ""tiempo"":"&amp;E509&amp;", "&amp;F509&amp;", ""vencimiento"":"&amp;G509&amp;IF(I509,", ""precio"":"&amp;I509,)&amp;", ""tipo"":"""&amp;H509&amp;"""},",)</f>
        <v>{"sku":"30005", "costo":10, "grupo":"7", "lote":1, "tiempo":10, "formula":[{"sku":"1309","req":4}], "vencimiento":1, "precio":9900, "tipo":"cocina"},</v>
      </c>
    </row>
    <row r="510" customFormat="false" ht="13" hidden="false" customHeight="false" outlineLevel="0" collapsed="false">
      <c r="A510" s="17" t="n">
        <v>7</v>
      </c>
      <c r="B510" s="0" t="n">
        <f aca="false">IFERROR(__xludf.dummyfunction("""COMPUTED_VALUE"""),30006)</f>
        <v>30006</v>
      </c>
      <c r="C510" s="24" t="n">
        <f aca="false">IFERROR(__xludf.dummyfunction("""COMPUTED_VALUE"""),10)</f>
        <v>10</v>
      </c>
      <c r="D510" s="0" t="n">
        <f aca="false">IFERROR(__xludf.dummyfunction("""COMPUTED_VALUE"""),1)</f>
        <v>1</v>
      </c>
      <c r="E510" s="0" t="n">
        <f aca="false">IFERROR(__xludf.dummyfunction("""COMPUTED_VALUE"""),10)</f>
        <v>10</v>
      </c>
      <c r="F510" s="0" t="str">
        <f aca="false">IFERROR(__xludf.dummyfunction("filter(Formulas!$C:$C,Formulas!$A:$A=B510)"),"""formula"":[{""sku"":""1309"",""req"":5}]")</f>
        <v>"formula":[{"sku":"1309","req":5}]</v>
      </c>
      <c r="G510" s="0" t="n">
        <f aca="false">IFERROR(__xludf.dummyfunction("""COMPUTED_VALUE"""),1)</f>
        <v>1</v>
      </c>
      <c r="H510" s="21" t="str">
        <f aca="false">IFERROR(__xludf.dummyfunction("IF(D510,filter(Productos!AC:AC,Productos!A:A=B510),)"),"cocina")</f>
        <v>cocina</v>
      </c>
      <c r="I510" s="24" t="n">
        <f aca="false">IFERROR(__xludf.dummyfunction("""COMPUTED_VALUE"""),12500)</f>
        <v>12500</v>
      </c>
      <c r="K510" s="0" t="str">
        <f aca="false">IF(D510,"{""sku"":"""&amp;B510&amp;""", ""costo"":"&amp;C510&amp;", ""grupo"":"""&amp;A510&amp;""", ""lote"":"&amp;D510&amp;", ""tiempo"":"&amp;E510&amp;", "&amp;F510&amp;", ""vencimiento"":"&amp;G510&amp;IF(I510,", ""precio"":"&amp;I510,)&amp;", ""tipo"":"""&amp;H510&amp;"""},",)</f>
        <v>{"sku":"30006", "costo":10, "grupo":"7", "lote":1, "tiempo":10, "formula":[{"sku":"1309","req":5}], "vencimiento":1, "precio":12500, "tipo":"cocina"},</v>
      </c>
    </row>
    <row r="511" customFormat="false" ht="13" hidden="false" customHeight="false" outlineLevel="0" collapsed="false">
      <c r="A511" s="16" t="n">
        <v>7</v>
      </c>
      <c r="B511" s="0" t="n">
        <f aca="false">IFERROR(__xludf.dummyfunction("""COMPUTED_VALUE"""),30007)</f>
        <v>30007</v>
      </c>
      <c r="C511" s="24" t="n">
        <f aca="false">IFERROR(__xludf.dummyfunction("""COMPUTED_VALUE"""),10)</f>
        <v>10</v>
      </c>
      <c r="D511" s="0" t="n">
        <f aca="false">IFERROR(__xludf.dummyfunction("""COMPUTED_VALUE"""),1)</f>
        <v>1</v>
      </c>
      <c r="E511" s="0" t="n">
        <f aca="false">IFERROR(__xludf.dummyfunction("""COMPUTED_VALUE"""),10)</f>
        <v>10</v>
      </c>
      <c r="F511" s="0" t="str">
        <f aca="false">IFERROR(__xludf.dummyfunction("filter(Formulas!$C:$C,Formulas!$A:$A=B511)"),"""formula"":[{""sku"":""1309"",""req"":2},{""sku"":""1307"",""req"":2}]")</f>
        <v>"formula":[{"sku":"1309","req":2},{"sku":"1307","req":2}]</v>
      </c>
      <c r="G511" s="0" t="n">
        <f aca="false">IFERROR(__xludf.dummyfunction("""COMPUTED_VALUE"""),1)</f>
        <v>1</v>
      </c>
      <c r="H511" s="21" t="str">
        <f aca="false">IFERROR(__xludf.dummyfunction("IF(D511,filter(Productos!AC:AC,Productos!A:A=B511),)"),"cocina")</f>
        <v>cocina</v>
      </c>
      <c r="I511" s="24" t="n">
        <f aca="false">IFERROR(__xludf.dummyfunction("""COMPUTED_VALUE"""),9900)</f>
        <v>9900</v>
      </c>
      <c r="K511" s="0" t="str">
        <f aca="false">IF(D511,"{""sku"":"""&amp;B511&amp;""", ""costo"":"&amp;C511&amp;", ""grupo"":"""&amp;A511&amp;""", ""lote"":"&amp;D511&amp;", ""tiempo"":"&amp;E511&amp;", "&amp;F511&amp;", ""vencimiento"":"&amp;G511&amp;IF(I511,", ""precio"":"&amp;I511,)&amp;", ""tipo"":"""&amp;H511&amp;"""},",)</f>
        <v>{"sku":"30007", "costo":10, "grupo":"7", "lote":1, "tiempo":10, "formula":[{"sku":"1309","req":2},{"sku":"1307","req":2}], "vencimiento":1, "precio":9900, "tipo":"cocina"},</v>
      </c>
    </row>
    <row r="512" customFormat="false" ht="13" hidden="false" customHeight="false" outlineLevel="0" collapsed="false">
      <c r="A512" s="17" t="n">
        <v>7</v>
      </c>
      <c r="B512" s="0" t="n">
        <f aca="false">IFERROR(__xludf.dummyfunction("""COMPUTED_VALUE"""),30008)</f>
        <v>30008</v>
      </c>
      <c r="C512" s="24" t="n">
        <f aca="false">IFERROR(__xludf.dummyfunction("""COMPUTED_VALUE"""),10)</f>
        <v>10</v>
      </c>
      <c r="D512" s="0" t="n">
        <f aca="false">IFERROR(__xludf.dummyfunction("""COMPUTED_VALUE"""),1)</f>
        <v>1</v>
      </c>
      <c r="E512" s="0" t="n">
        <f aca="false">IFERROR(__xludf.dummyfunction("""COMPUTED_VALUE"""),10)</f>
        <v>10</v>
      </c>
      <c r="F512" s="0" t="str">
        <f aca="false">IFERROR(__xludf.dummyfunction("filter(Formulas!$C:$C,Formulas!$A:$A=B512)"),"""formula"":[{""sku"":""1309"",""req"":3},{""sku"":""1307"",""req"":3}]")</f>
        <v>"formula":[{"sku":"1309","req":3},{"sku":"1307","req":3}]</v>
      </c>
      <c r="G512" s="0" t="n">
        <f aca="false">IFERROR(__xludf.dummyfunction("""COMPUTED_VALUE"""),1)</f>
        <v>1</v>
      </c>
      <c r="H512" s="21" t="str">
        <f aca="false">IFERROR(__xludf.dummyfunction("IF(D512,filter(Productos!AC:AC,Productos!A:A=B512),)"),"cocina")</f>
        <v>cocina</v>
      </c>
      <c r="I512" s="24" t="n">
        <f aca="false">IFERROR(__xludf.dummyfunction("""COMPUTED_VALUE"""),15990)</f>
        <v>15990</v>
      </c>
      <c r="K512" s="0" t="str">
        <f aca="false">IF(D512,"{""sku"":"""&amp;B512&amp;""", ""costo"":"&amp;C512&amp;", ""grupo"":"""&amp;A512&amp;""", ""lote"":"&amp;D512&amp;", ""tiempo"":"&amp;E512&amp;", "&amp;F512&amp;", ""vencimiento"":"&amp;G512&amp;IF(I512,", ""precio"":"&amp;I512,)&amp;", ""tipo"":"""&amp;H512&amp;"""},",)</f>
        <v>{"sku":"30008", "costo":10, "grupo":"7", "lote":1, "tiempo":10, "formula":[{"sku":"1309","req":3},{"sku":"1307","req":3}], "vencimiento":1, "precio":15990, "tipo":"cocina"},</v>
      </c>
    </row>
    <row r="513" customFormat="false" ht="13" hidden="false" customHeight="false" outlineLevel="0" collapsed="false">
      <c r="H513" s="21" t="str">
        <f aca="false">IFERROR(__xludf.dummyfunction("IF(D513,filter(Productos!AC:AC,Productos!A:A=B513),)"),"")</f>
        <v/>
      </c>
      <c r="K513" s="0" t="n">
        <f aca="false">IF(D513,"{""sku"":"""&amp;B513&amp;""", ""costo"":"&amp;C513&amp;", ""grupo"":"""&amp;A513&amp;""", ""lote"":"&amp;D513&amp;", ""tiempo"":"&amp;E513&amp;", "&amp;F513&amp;", ""vencimiento"":"&amp;G513&amp;IF(I513,", ""precio"":"&amp;I513,)&amp;", ""tipo"":"""&amp;H513&amp;"""},",)</f>
        <v>0</v>
      </c>
    </row>
    <row r="514" customFormat="false" ht="13" hidden="false" customHeight="false" outlineLevel="0" collapsed="false">
      <c r="A514" s="22" t="s">
        <v>252</v>
      </c>
      <c r="B514" s="16" t="s">
        <v>253</v>
      </c>
      <c r="C514" s="16"/>
      <c r="D514" s="16"/>
      <c r="E514" s="16"/>
      <c r="F514" s="16"/>
      <c r="G514" s="25"/>
      <c r="H514" s="21" t="str">
        <f aca="false">IFERROR(__xludf.dummyfunction("IF(D514,filter(Productos!AC:AC,Productos!A:A=B514),)"),"")</f>
        <v/>
      </c>
      <c r="K514" s="0" t="n">
        <f aca="false">IF(D514,"{""sku"":"""&amp;B514&amp;""", ""costo"":"&amp;C514&amp;", ""grupo"":"""&amp;A514&amp;""", ""lote"":"&amp;D514&amp;", ""tiempo"":"&amp;E514&amp;", "&amp;F514&amp;", ""vencimiento"":"&amp;G514&amp;IF(I514,", ""precio"":"&amp;I514,)&amp;", ""tipo"":"""&amp;H514&amp;"""},",)</f>
        <v>0</v>
      </c>
    </row>
    <row r="515" customFormat="false" ht="13" hidden="false" customHeight="false" outlineLevel="0" collapsed="false">
      <c r="A515" s="17" t="n">
        <v>8</v>
      </c>
      <c r="B515" s="17" t="n">
        <f aca="false">IFERROR(__xludf.dummyfunction("filter(Productos!$A$2:$A1017,INDIRECT(B514))"),1001)</f>
        <v>1001</v>
      </c>
      <c r="C515" s="24" t="n">
        <f aca="false">IFERROR(__xludf.dummyfunction("filter(Productos!$D$2:$D1017,INDIRECT(B514))"),3000)</f>
        <v>3000</v>
      </c>
      <c r="D515" s="17" t="n">
        <f aca="false">IFERROR(__xludf.dummyfunction("filter(Productos!$K$2:$L1017,INDIRECT(B514))"),10)</f>
        <v>10</v>
      </c>
      <c r="E515" s="17" t="n">
        <f aca="false">IFERROR(__xludf.dummyfunction("""COMPUTED_VALUE"""),240)</f>
        <v>240</v>
      </c>
      <c r="F515" s="16" t="str">
        <f aca="false">IFERROR(__xludf.dummyfunction("filter(Formulas!$C:$C,Formulas!$A:$A=B515)"),"""formula"":null")</f>
        <v>"formula":null</v>
      </c>
      <c r="G515" s="26" t="n">
        <f aca="false">IFERROR(__xludf.dummyfunction("filter(Productos!$H$2:$H1017,INDIRECT(B514))"),720)</f>
        <v>720</v>
      </c>
      <c r="H515" s="21" t="str">
        <f aca="false">IFERROR(__xludf.dummyfunction("IF(D515,filter(Productos!AC:AC,Productos!A:A=B515),)"),"fabrica")</f>
        <v>fabrica</v>
      </c>
      <c r="I515" s="24" t="str">
        <f aca="false">IFERROR(__xludf.dummyfunction("filter(Productos!$E$2:$E1017,INDIRECT(B514))"),"")</f>
        <v/>
      </c>
      <c r="K515" s="0" t="e">
        <f aca="false">IF(D515,"{""sku"":"""&amp;B515&amp;""", ""costo"":"&amp;C515&amp;", ""grupo"":"""&amp;A515&amp;""", ""lote"":"&amp;D515&amp;", ""tiempo"":"&amp;E515&amp;", "&amp;F515&amp;", ""vencimiento"":"&amp;G515&amp;IF(I515,", ""precio"":"&amp;I515,)&amp;", ""tipo"":"""&amp;H515&amp;"""},",)</f>
        <v>#VALUE!</v>
      </c>
    </row>
    <row r="516" customFormat="false" ht="13" hidden="false" customHeight="false" outlineLevel="0" collapsed="false">
      <c r="A516" s="16" t="n">
        <v>8</v>
      </c>
      <c r="B516" s="0" t="n">
        <f aca="false">IFERROR(__xludf.dummyfunction("""COMPUTED_VALUE"""),1002)</f>
        <v>1002</v>
      </c>
      <c r="C516" s="24" t="n">
        <f aca="false">IFERROR(__xludf.dummyfunction("""COMPUTED_VALUE"""),4590)</f>
        <v>4590</v>
      </c>
      <c r="D516" s="0" t="n">
        <f aca="false">IFERROR(__xludf.dummyfunction("""COMPUTED_VALUE"""),10)</f>
        <v>10</v>
      </c>
      <c r="E516" s="0" t="n">
        <f aca="false">IFERROR(__xludf.dummyfunction("""COMPUTED_VALUE"""),300)</f>
        <v>300</v>
      </c>
      <c r="F516" s="0" t="str">
        <f aca="false">IFERROR(__xludf.dummyfunction("filter(Formulas!$C:$C,Formulas!$A:$A=B516)"),"""formula"":null")</f>
        <v>"formula":null</v>
      </c>
      <c r="G516" s="0" t="n">
        <f aca="false">IFERROR(__xludf.dummyfunction("""COMPUTED_VALUE"""),720)</f>
        <v>720</v>
      </c>
      <c r="H516" s="21" t="str">
        <f aca="false">IFERROR(__xludf.dummyfunction("IF(D516,filter(Productos!AC:AC,Productos!A:A=B516),)"),"fabrica")</f>
        <v>fabrica</v>
      </c>
      <c r="I516" s="24" t="str">
        <f aca="false">IFERROR(__xludf.dummyfunction("""COMPUTED_VALUE"""),"")</f>
        <v/>
      </c>
      <c r="K516" s="0" t="e">
        <f aca="false">IF(D516,"{""sku"":"""&amp;B516&amp;""", ""costo"":"&amp;C516&amp;", ""grupo"":"""&amp;A516&amp;""", ""lote"":"&amp;D516&amp;", ""tiempo"":"&amp;E516&amp;", "&amp;F516&amp;", ""vencimiento"":"&amp;G516&amp;IF(I516,", ""precio"":"&amp;I516,)&amp;", ""tipo"":"""&amp;H516&amp;"""},",)</f>
        <v>#VALUE!</v>
      </c>
    </row>
    <row r="517" customFormat="false" ht="13" hidden="false" customHeight="false" outlineLevel="0" collapsed="false">
      <c r="A517" s="17" t="n">
        <v>8</v>
      </c>
      <c r="B517" s="0" t="n">
        <f aca="false">IFERROR(__xludf.dummyfunction("""COMPUTED_VALUE"""),1003)</f>
        <v>1003</v>
      </c>
      <c r="C517" s="24" t="n">
        <f aca="false">IFERROR(__xludf.dummyfunction("""COMPUTED_VALUE"""),1290)</f>
        <v>1290</v>
      </c>
      <c r="D517" s="0" t="n">
        <f aca="false">IFERROR(__xludf.dummyfunction("""COMPUTED_VALUE"""),100)</f>
        <v>100</v>
      </c>
      <c r="E517" s="0" t="n">
        <f aca="false">IFERROR(__xludf.dummyfunction("""COMPUTED_VALUE"""),320)</f>
        <v>320</v>
      </c>
      <c r="F517" s="0" t="str">
        <f aca="false">IFERROR(__xludf.dummyfunction("filter(Formulas!$C:$C,Formulas!$A:$A=B517)"),"""formula"":null")</f>
        <v>"formula":null</v>
      </c>
      <c r="G517" s="0" t="n">
        <f aca="false">IFERROR(__xludf.dummyfunction("""COMPUTED_VALUE"""),720)</f>
        <v>720</v>
      </c>
      <c r="H517" s="21" t="str">
        <f aca="false">IFERROR(__xludf.dummyfunction("IF(D517,filter(Productos!AC:AC,Productos!A:A=B517),)"),"fabrica")</f>
        <v>fabrica</v>
      </c>
      <c r="I517" s="24" t="str">
        <f aca="false">IFERROR(__xludf.dummyfunction("""COMPUTED_VALUE"""),"")</f>
        <v/>
      </c>
      <c r="K517" s="0" t="e">
        <f aca="false">IF(D517,"{""sku"":"""&amp;B517&amp;""", ""costo"":"&amp;C517&amp;", ""grupo"":"""&amp;A517&amp;""", ""lote"":"&amp;D517&amp;", ""tiempo"":"&amp;E517&amp;", "&amp;F517&amp;", ""vencimiento"":"&amp;G517&amp;IF(I517,", ""precio"":"&amp;I517,)&amp;", ""tipo"":"""&amp;H517&amp;"""},",)</f>
        <v>#VALUE!</v>
      </c>
    </row>
    <row r="518" customFormat="false" ht="13" hidden="false" customHeight="false" outlineLevel="0" collapsed="false">
      <c r="A518" s="16" t="n">
        <v>8</v>
      </c>
      <c r="B518" s="0" t="n">
        <f aca="false">IFERROR(__xludf.dummyfunction("""COMPUTED_VALUE"""),1005)</f>
        <v>1005</v>
      </c>
      <c r="C518" s="24" t="n">
        <f aca="false">IFERROR(__xludf.dummyfunction("""COMPUTED_VALUE"""),9990)</f>
        <v>9990</v>
      </c>
      <c r="D518" s="0" t="n">
        <f aca="false">IFERROR(__xludf.dummyfunction("""COMPUTED_VALUE"""),5)</f>
        <v>5</v>
      </c>
      <c r="E518" s="0" t="n">
        <f aca="false">IFERROR(__xludf.dummyfunction("""COMPUTED_VALUE"""),260)</f>
        <v>260</v>
      </c>
      <c r="F518" s="0" t="str">
        <f aca="false">IFERROR(__xludf.dummyfunction("filter(Formulas!$C:$C,Formulas!$A:$A=B518)"),"""formula"":null")</f>
        <v>"formula":null</v>
      </c>
      <c r="G518" s="0" t="n">
        <f aca="false">IFERROR(__xludf.dummyfunction("""COMPUTED_VALUE"""),24)</f>
        <v>24</v>
      </c>
      <c r="H518" s="21" t="str">
        <f aca="false">IFERROR(__xludf.dummyfunction("IF(D518,filter(Productos!AC:AC,Productos!A:A=B518),)"),"fabrica")</f>
        <v>fabrica</v>
      </c>
      <c r="I518" s="24" t="str">
        <f aca="false">IFERROR(__xludf.dummyfunction("""COMPUTED_VALUE"""),"")</f>
        <v/>
      </c>
      <c r="K518" s="0" t="e">
        <f aca="false">IF(D518,"{""sku"":"""&amp;B518&amp;""", ""costo"":"&amp;C518&amp;", ""grupo"":"""&amp;A518&amp;""", ""lote"":"&amp;D518&amp;", ""tiempo"":"&amp;E518&amp;", "&amp;F518&amp;", ""vencimiento"":"&amp;G518&amp;IF(I518,", ""precio"":"&amp;I518,)&amp;", ""tipo"":"""&amp;H518&amp;"""},",)</f>
        <v>#VALUE!</v>
      </c>
    </row>
    <row r="519" customFormat="false" ht="13" hidden="false" customHeight="false" outlineLevel="0" collapsed="false">
      <c r="A519" s="17" t="n">
        <v>8</v>
      </c>
      <c r="B519" s="0" t="n">
        <f aca="false">IFERROR(__xludf.dummyfunction("""COMPUTED_VALUE"""),1006)</f>
        <v>1006</v>
      </c>
      <c r="C519" s="24" t="n">
        <f aca="false">IFERROR(__xludf.dummyfunction("""COMPUTED_VALUE"""),15990)</f>
        <v>15990</v>
      </c>
      <c r="D519" s="0" t="n">
        <f aca="false">IFERROR(__xludf.dummyfunction("""COMPUTED_VALUE"""),1)</f>
        <v>1</v>
      </c>
      <c r="E519" s="0" t="n">
        <f aca="false">IFERROR(__xludf.dummyfunction("""COMPUTED_VALUE"""),120)</f>
        <v>120</v>
      </c>
      <c r="F519" s="0" t="str">
        <f aca="false">IFERROR(__xludf.dummyfunction("filter(Formulas!$C:$C,Formulas!$A:$A=B519)"),"""formula"":null")</f>
        <v>"formula":null</v>
      </c>
      <c r="G519" s="0" t="n">
        <f aca="false">IFERROR(__xludf.dummyfunction("""COMPUTED_VALUE"""),720)</f>
        <v>720</v>
      </c>
      <c r="H519" s="21" t="str">
        <f aca="false">IFERROR(__xludf.dummyfunction("IF(D519,filter(Productos!AC:AC,Productos!A:A=B519),)"),"fabrica")</f>
        <v>fabrica</v>
      </c>
      <c r="I519" s="24" t="str">
        <f aca="false">IFERROR(__xludf.dummyfunction("""COMPUTED_VALUE"""),"")</f>
        <v/>
      </c>
      <c r="K519" s="0" t="e">
        <f aca="false">IF(D519,"{""sku"":"""&amp;B519&amp;""", ""costo"":"&amp;C519&amp;", ""grupo"":"""&amp;A519&amp;""", ""lote"":"&amp;D519&amp;", ""tiempo"":"&amp;E519&amp;", "&amp;F519&amp;", ""vencimiento"":"&amp;G519&amp;IF(I519,", ""precio"":"&amp;I519,)&amp;", ""tipo"":"""&amp;H519&amp;"""},",)</f>
        <v>#VALUE!</v>
      </c>
    </row>
    <row r="520" customFormat="false" ht="13" hidden="false" customHeight="false" outlineLevel="0" collapsed="false">
      <c r="A520" s="16" t="n">
        <v>8</v>
      </c>
      <c r="B520" s="0" t="n">
        <f aca="false">IFERROR(__xludf.dummyfunction("""COMPUTED_VALUE"""),1009)</f>
        <v>1009</v>
      </c>
      <c r="C520" s="24" t="n">
        <f aca="false">IFERROR(__xludf.dummyfunction("""COMPUTED_VALUE"""),14370)</f>
        <v>14370</v>
      </c>
      <c r="D520" s="0" t="n">
        <f aca="false">IFERROR(__xludf.dummyfunction("""COMPUTED_VALUE"""),3)</f>
        <v>3</v>
      </c>
      <c r="E520" s="0" t="n">
        <f aca="false">IFERROR(__xludf.dummyfunction("""COMPUTED_VALUE"""),400)</f>
        <v>400</v>
      </c>
      <c r="F520" s="0" t="str">
        <f aca="false">IFERROR(__xludf.dummyfunction("filter(Formulas!$C:$C,Formulas!$A:$A=B520)"),"""formula"":null")</f>
        <v>"formula":null</v>
      </c>
      <c r="G520" s="0" t="n">
        <f aca="false">IFERROR(__xludf.dummyfunction("""COMPUTED_VALUE"""),15)</f>
        <v>15</v>
      </c>
      <c r="H520" s="21" t="str">
        <f aca="false">IFERROR(__xludf.dummyfunction("IF(D520,filter(Productos!AC:AC,Productos!A:A=B520),)"),"fabrica")</f>
        <v>fabrica</v>
      </c>
      <c r="I520" s="24" t="str">
        <f aca="false">IFERROR(__xludf.dummyfunction("""COMPUTED_VALUE"""),"")</f>
        <v/>
      </c>
      <c r="K520" s="0" t="e">
        <f aca="false">IF(D520,"{""sku"":"""&amp;B520&amp;""", ""costo"":"&amp;C520&amp;", ""grupo"":"""&amp;A520&amp;""", ""lote"":"&amp;D520&amp;", ""tiempo"":"&amp;E520&amp;", "&amp;F520&amp;", ""vencimiento"":"&amp;G520&amp;IF(I520,", ""precio"":"&amp;I520,)&amp;", ""tipo"":"""&amp;H520&amp;"""},",)</f>
        <v>#VALUE!</v>
      </c>
    </row>
    <row r="521" customFormat="false" ht="13" hidden="false" customHeight="false" outlineLevel="0" collapsed="false">
      <c r="A521" s="17" t="n">
        <v>8</v>
      </c>
      <c r="B521" s="0" t="n">
        <f aca="false">IFERROR(__xludf.dummyfunction("""COMPUTED_VALUE"""),1014)</f>
        <v>1014</v>
      </c>
      <c r="C521" s="24" t="n">
        <f aca="false">IFERROR(__xludf.dummyfunction("""COMPUTED_VALUE"""),690)</f>
        <v>690</v>
      </c>
      <c r="D521" s="0" t="n">
        <f aca="false">IFERROR(__xludf.dummyfunction("""COMPUTED_VALUE"""),5)</f>
        <v>5</v>
      </c>
      <c r="E521" s="0" t="n">
        <f aca="false">IFERROR(__xludf.dummyfunction("""COMPUTED_VALUE"""),240)</f>
        <v>240</v>
      </c>
      <c r="F521" s="0" t="str">
        <f aca="false">IFERROR(__xludf.dummyfunction("filter(Formulas!$C:$C,Formulas!$A:$A=B521)"),"""formula"":null")</f>
        <v>"formula":null</v>
      </c>
      <c r="G521" s="0" t="n">
        <f aca="false">IFERROR(__xludf.dummyfunction("""COMPUTED_VALUE"""),24)</f>
        <v>24</v>
      </c>
      <c r="H521" s="21" t="str">
        <f aca="false">IFERROR(__xludf.dummyfunction("IF(D521,filter(Productos!AC:AC,Productos!A:A=B521),)"),"fabrica")</f>
        <v>fabrica</v>
      </c>
      <c r="I521" s="24" t="str">
        <f aca="false">IFERROR(__xludf.dummyfunction("""COMPUTED_VALUE"""),"")</f>
        <v/>
      </c>
      <c r="K521" s="0" t="e">
        <f aca="false">IF(D521,"{""sku"":"""&amp;B521&amp;""", ""costo"":"&amp;C521&amp;", ""grupo"":"""&amp;A521&amp;""", ""lote"":"&amp;D521&amp;", ""tiempo"":"&amp;E521&amp;", "&amp;F521&amp;", ""vencimiento"":"&amp;G521&amp;IF(I521,", ""precio"":"&amp;I521,)&amp;", ""tipo"":"""&amp;H521&amp;"""},",)</f>
        <v>#VALUE!</v>
      </c>
    </row>
    <row r="522" customFormat="false" ht="13" hidden="false" customHeight="false" outlineLevel="0" collapsed="false">
      <c r="A522" s="16" t="n">
        <v>8</v>
      </c>
      <c r="B522" s="0" t="n">
        <f aca="false">IFERROR(__xludf.dummyfunction("""COMPUTED_VALUE"""),1016)</f>
        <v>1016</v>
      </c>
      <c r="C522" s="24" t="n">
        <f aca="false">IFERROR(__xludf.dummyfunction("""COMPUTED_VALUE"""),2790)</f>
        <v>2790</v>
      </c>
      <c r="D522" s="0" t="n">
        <f aca="false">IFERROR(__xludf.dummyfunction("""COMPUTED_VALUE"""),8)</f>
        <v>8</v>
      </c>
      <c r="E522" s="0" t="n">
        <f aca="false">IFERROR(__xludf.dummyfunction("""COMPUTED_VALUE"""),600)</f>
        <v>600</v>
      </c>
      <c r="F522" s="0" t="str">
        <f aca="false">IFERROR(__xludf.dummyfunction("filter(Formulas!$C:$C,Formulas!$A:$A=B522)"),"""formula"":null")</f>
        <v>"formula":null</v>
      </c>
      <c r="G522" s="0" t="n">
        <f aca="false">IFERROR(__xludf.dummyfunction("""COMPUTED_VALUE"""),240)</f>
        <v>240</v>
      </c>
      <c r="H522" s="21" t="str">
        <f aca="false">IFERROR(__xludf.dummyfunction("IF(D522,filter(Productos!AC:AC,Productos!A:A=B522),)"),"fabrica")</f>
        <v>fabrica</v>
      </c>
      <c r="I522" s="0" t="str">
        <f aca="false">IFERROR(__xludf.dummyfunction("""COMPUTED_VALUE"""),"")</f>
        <v/>
      </c>
      <c r="K522" s="0" t="e">
        <f aca="false">IF(D522,"{""sku"":"""&amp;B522&amp;""", ""costo"":"&amp;C522&amp;", ""grupo"":"""&amp;A522&amp;""", ""lote"":"&amp;D522&amp;", ""tiempo"":"&amp;E522&amp;", "&amp;F522&amp;", ""vencimiento"":"&amp;G522&amp;IF(I522,", ""precio"":"&amp;I522,)&amp;", ""tipo"":"""&amp;H522&amp;"""},",)</f>
        <v>#VALUE!</v>
      </c>
    </row>
    <row r="523" customFormat="false" ht="13" hidden="false" customHeight="false" outlineLevel="0" collapsed="false">
      <c r="A523" s="17" t="n">
        <v>8</v>
      </c>
      <c r="B523" s="0" t="n">
        <f aca="false">IFERROR(__xludf.dummyfunction("""COMPUTED_VALUE"""),1101)</f>
        <v>1101</v>
      </c>
      <c r="C523" s="24" t="n">
        <f aca="false">IFERROR(__xludf.dummyfunction("""COMPUTED_VALUE"""),500)</f>
        <v>500</v>
      </c>
      <c r="D523" s="0" t="n">
        <f aca="false">IFERROR(__xludf.dummyfunction("""COMPUTED_VALUE"""),10)</f>
        <v>10</v>
      </c>
      <c r="E523" s="0" t="n">
        <f aca="false">IFERROR(__xludf.dummyfunction("""COMPUTED_VALUE"""),40)</f>
        <v>40</v>
      </c>
      <c r="F523" s="0" t="str">
        <f aca="false">IFERROR(__xludf.dummyfunction("filter(Formulas!$C:$C,Formulas!$A:$A=B523)"),"""formula"":[{""sku"":""1001"",""req"":8},{""sku"":""1003"",""req"":3},{""sku"":""1004"",""req"":2},{""sku"":""1002"",""req"":4}]")</f>
        <v>"formula":[{"sku":"1001","req":8},{"sku":"1003","req":3},{"sku":"1004","req":2},{"sku":"1002","req":4}]</v>
      </c>
      <c r="G523" s="0" t="n">
        <f aca="false">IFERROR(__xludf.dummyfunction("""COMPUTED_VALUE"""),3)</f>
        <v>3</v>
      </c>
      <c r="H523" s="21" t="str">
        <f aca="false">IFERROR(__xludf.dummyfunction("IF(D523,filter(Productos!AC:AC,Productos!A:A=B523),)"),"fabrica")</f>
        <v>fabrica</v>
      </c>
      <c r="I523" s="24" t="str">
        <f aca="false">IFERROR(__xludf.dummyfunction("""COMPUTED_VALUE"""),"")</f>
        <v/>
      </c>
      <c r="K523" s="0" t="e">
        <f aca="false">IF(D523,"{""sku"":"""&amp;B523&amp;""", ""costo"":"&amp;C523&amp;", ""grupo"":"""&amp;A523&amp;""", ""lote"":"&amp;D523&amp;", ""tiempo"":"&amp;E523&amp;", "&amp;F523&amp;", ""vencimiento"":"&amp;G523&amp;IF(I523,", ""precio"":"&amp;I523,)&amp;", ""tipo"":"""&amp;H523&amp;"""},",)</f>
        <v>#VALUE!</v>
      </c>
    </row>
    <row r="524" customFormat="false" ht="13" hidden="false" customHeight="false" outlineLevel="0" collapsed="false">
      <c r="A524" s="16" t="n">
        <v>8</v>
      </c>
      <c r="B524" s="0" t="n">
        <f aca="false">IFERROR(__xludf.dummyfunction("""COMPUTED_VALUE"""),1105)</f>
        <v>1105</v>
      </c>
      <c r="C524" s="24" t="n">
        <f aca="false">IFERROR(__xludf.dummyfunction("""COMPUTED_VALUE"""),10)</f>
        <v>10</v>
      </c>
      <c r="D524" s="0" t="n">
        <f aca="false">IFERROR(__xludf.dummyfunction("""COMPUTED_VALUE"""),10)</f>
        <v>10</v>
      </c>
      <c r="E524" s="0" t="n">
        <f aca="false">IFERROR(__xludf.dummyfunction("""COMPUTED_VALUE"""),10)</f>
        <v>10</v>
      </c>
      <c r="F524" s="0" t="str">
        <f aca="false">IFERROR(__xludf.dummyfunction("filter(Formulas!$C:$C,Formulas!$A:$A=B524)"),"""formula"":[{""sku"":""1005"",""req"":1}]")</f>
        <v>"formula":[{"sku":"1005","req":1}]</v>
      </c>
      <c r="G524" s="0" t="n">
        <f aca="false">IFERROR(__xludf.dummyfunction("""COMPUTED_VALUE"""),3)</f>
        <v>3</v>
      </c>
      <c r="H524" s="21" t="str">
        <f aca="false">IFERROR(__xludf.dummyfunction("IF(D524,filter(Productos!AC:AC,Productos!A:A=B524),)"),"fabrica")</f>
        <v>fabrica</v>
      </c>
      <c r="I524" s="24" t="str">
        <f aca="false">IFERROR(__xludf.dummyfunction("""COMPUTED_VALUE"""),"")</f>
        <v/>
      </c>
      <c r="K524" s="0" t="e">
        <f aca="false">IF(D524,"{""sku"":"""&amp;B524&amp;""", ""costo"":"&amp;C524&amp;", ""grupo"":"""&amp;A524&amp;""", ""lote"":"&amp;D524&amp;", ""tiempo"":"&amp;E524&amp;", "&amp;F524&amp;", ""vencimiento"":"&amp;G524&amp;IF(I524,", ""precio"":"&amp;I524,)&amp;", ""tipo"":"""&amp;H524&amp;"""},",)</f>
        <v>#VALUE!</v>
      </c>
    </row>
    <row r="525" customFormat="false" ht="13" hidden="false" customHeight="false" outlineLevel="0" collapsed="false">
      <c r="A525" s="17" t="n">
        <v>8</v>
      </c>
      <c r="B525" s="0" t="n">
        <f aca="false">IFERROR(__xludf.dummyfunction("""COMPUTED_VALUE"""),1106)</f>
        <v>1106</v>
      </c>
      <c r="C525" s="24" t="n">
        <f aca="false">IFERROR(__xludf.dummyfunction("""COMPUTED_VALUE"""),700)</f>
        <v>700</v>
      </c>
      <c r="D525" s="0" t="n">
        <f aca="false">IFERROR(__xludf.dummyfunction("""COMPUTED_VALUE"""),100)</f>
        <v>100</v>
      </c>
      <c r="E525" s="0" t="n">
        <f aca="false">IFERROR(__xludf.dummyfunction("""COMPUTED_VALUE"""),30)</f>
        <v>30</v>
      </c>
      <c r="F525" s="0" t="str">
        <f aca="false">IFERROR(__xludf.dummyfunction("filter(Formulas!$C:$C,Formulas!$A:$A=B525)"),"""formula"":[{""sku"":""1006"",""req"":1}]")</f>
        <v>"formula":[{"sku":"1006","req":1}]</v>
      </c>
      <c r="G525" s="0" t="n">
        <f aca="false">IFERROR(__xludf.dummyfunction("""COMPUTED_VALUE"""),4)</f>
        <v>4</v>
      </c>
      <c r="H525" s="21" t="str">
        <f aca="false">IFERROR(__xludf.dummyfunction("IF(D525,filter(Productos!AC:AC,Productos!A:A=B525),)"),"fabrica")</f>
        <v>fabrica</v>
      </c>
      <c r="I525" s="24" t="str">
        <f aca="false">IFERROR(__xludf.dummyfunction("""COMPUTED_VALUE"""),"")</f>
        <v/>
      </c>
      <c r="K525" s="0" t="e">
        <f aca="false">IF(D525,"{""sku"":"""&amp;B525&amp;""", ""costo"":"&amp;C525&amp;", ""grupo"":"""&amp;A525&amp;""", ""lote"":"&amp;D525&amp;", ""tiempo"":"&amp;E525&amp;", "&amp;F525&amp;", ""vencimiento"":"&amp;G525&amp;IF(I525,", ""precio"":"&amp;I525,)&amp;", ""tipo"":"""&amp;H525&amp;"""},",)</f>
        <v>#VALUE!</v>
      </c>
    </row>
    <row r="526" customFormat="false" ht="13" hidden="false" customHeight="false" outlineLevel="0" collapsed="false">
      <c r="A526" s="16" t="n">
        <v>8</v>
      </c>
      <c r="B526" s="0" t="n">
        <f aca="false">IFERROR(__xludf.dummyfunction("""COMPUTED_VALUE"""),1107)</f>
        <v>1107</v>
      </c>
      <c r="C526" s="24" t="n">
        <f aca="false">IFERROR(__xludf.dummyfunction("""COMPUTED_VALUE"""),10)</f>
        <v>10</v>
      </c>
      <c r="D526" s="0" t="n">
        <f aca="false">IFERROR(__xludf.dummyfunction("""COMPUTED_VALUE"""),11)</f>
        <v>11</v>
      </c>
      <c r="E526" s="0" t="n">
        <f aca="false">IFERROR(__xludf.dummyfunction("""COMPUTED_VALUE"""),20)</f>
        <v>20</v>
      </c>
      <c r="F526" s="0" t="str">
        <f aca="false">IFERROR(__xludf.dummyfunction("filter(Formulas!$C:$C,Formulas!$A:$A=B526)"),"""formula"":[{""sku"":""1007"",""req"":1}]")</f>
        <v>"formula":[{"sku":"1007","req":1}]</v>
      </c>
      <c r="G526" s="0" t="n">
        <f aca="false">IFERROR(__xludf.dummyfunction("""COMPUTED_VALUE"""),2)</f>
        <v>2</v>
      </c>
      <c r="H526" s="21" t="str">
        <f aca="false">IFERROR(__xludf.dummyfunction("IF(D526,filter(Productos!AC:AC,Productos!A:A=B526),)"),"fabrica")</f>
        <v>fabrica</v>
      </c>
      <c r="I526" s="24" t="str">
        <f aca="false">IFERROR(__xludf.dummyfunction("""COMPUTED_VALUE"""),"")</f>
        <v/>
      </c>
      <c r="K526" s="0" t="e">
        <f aca="false">IF(D526,"{""sku"":"""&amp;B526&amp;""", ""costo"":"&amp;C526&amp;", ""grupo"":"""&amp;A526&amp;""", ""lote"":"&amp;D526&amp;", ""tiempo"":"&amp;E526&amp;", "&amp;F526&amp;", ""vencimiento"":"&amp;G526&amp;IF(I526,", ""precio"":"&amp;I526,)&amp;", ""tipo"":"""&amp;H526&amp;"""},",)</f>
        <v>#VALUE!</v>
      </c>
    </row>
    <row r="527" customFormat="false" ht="13" hidden="false" customHeight="false" outlineLevel="0" collapsed="false">
      <c r="A527" s="17" t="n">
        <v>8</v>
      </c>
      <c r="B527" s="0" t="n">
        <f aca="false">IFERROR(__xludf.dummyfunction("""COMPUTED_VALUE"""),1108)</f>
        <v>1108</v>
      </c>
      <c r="C527" s="24" t="n">
        <f aca="false">IFERROR(__xludf.dummyfunction("""COMPUTED_VALUE"""),10)</f>
        <v>10</v>
      </c>
      <c r="D527" s="0" t="n">
        <f aca="false">IFERROR(__xludf.dummyfunction("""COMPUTED_VALUE"""),6)</f>
        <v>6</v>
      </c>
      <c r="E527" s="0" t="n">
        <f aca="false">IFERROR(__xludf.dummyfunction("""COMPUTED_VALUE"""),20)</f>
        <v>20</v>
      </c>
      <c r="F527" s="0" t="str">
        <f aca="false">IFERROR(__xludf.dummyfunction("filter(Formulas!$C:$C,Formulas!$A:$A=B527)"),"""formula"":[{""sku"":""1008"",""req"":1}]")</f>
        <v>"formula":[{"sku":"1008","req":1}]</v>
      </c>
      <c r="G527" s="0" t="n">
        <f aca="false">IFERROR(__xludf.dummyfunction("""COMPUTED_VALUE"""),4)</f>
        <v>4</v>
      </c>
      <c r="H527" s="21" t="str">
        <f aca="false">IFERROR(__xludf.dummyfunction("IF(D527,filter(Productos!AC:AC,Productos!A:A=B527),)"),"fabrica")</f>
        <v>fabrica</v>
      </c>
      <c r="I527" s="24" t="str">
        <f aca="false">IFERROR(__xludf.dummyfunction("""COMPUTED_VALUE"""),"")</f>
        <v/>
      </c>
      <c r="K527" s="0" t="e">
        <f aca="false">IF(D527,"{""sku"":"""&amp;B527&amp;""", ""costo"":"&amp;C527&amp;", ""grupo"":"""&amp;A527&amp;""", ""lote"":"&amp;D527&amp;", ""tiempo"":"&amp;E527&amp;", "&amp;F527&amp;", ""vencimiento"":"&amp;G527&amp;IF(I527,", ""precio"":"&amp;I527,)&amp;", ""tipo"":"""&amp;H527&amp;"""},",)</f>
        <v>#VALUE!</v>
      </c>
    </row>
    <row r="528" customFormat="false" ht="13" hidden="false" customHeight="false" outlineLevel="0" collapsed="false">
      <c r="A528" s="16" t="n">
        <v>8</v>
      </c>
      <c r="B528" s="0" t="n">
        <f aca="false">IFERROR(__xludf.dummyfunction("""COMPUTED_VALUE"""),1109)</f>
        <v>1109</v>
      </c>
      <c r="C528" s="24" t="n">
        <f aca="false">IFERROR(__xludf.dummyfunction("""COMPUTED_VALUE"""),10)</f>
        <v>10</v>
      </c>
      <c r="D528" s="0" t="n">
        <f aca="false">IFERROR(__xludf.dummyfunction("""COMPUTED_VALUE"""),12)</f>
        <v>12</v>
      </c>
      <c r="E528" s="0" t="n">
        <f aca="false">IFERROR(__xludf.dummyfunction("""COMPUTED_VALUE"""),30)</f>
        <v>30</v>
      </c>
      <c r="F528" s="0" t="str">
        <f aca="false">IFERROR(__xludf.dummyfunction("filter(Formulas!$C:$C,Formulas!$A:$A=B528)"),"""formula"":[{""sku"":""1009"",""req"":1}]")</f>
        <v>"formula":[{"sku":"1009","req":1}]</v>
      </c>
      <c r="G528" s="0" t="n">
        <f aca="false">IFERROR(__xludf.dummyfunction("""COMPUTED_VALUE"""),1.5)</f>
        <v>1.5</v>
      </c>
      <c r="H528" s="21" t="str">
        <f aca="false">IFERROR(__xludf.dummyfunction("IF(D528,filter(Productos!AC:AC,Productos!A:A=B528),)"),"fabrica")</f>
        <v>fabrica</v>
      </c>
      <c r="I528" s="24" t="str">
        <f aca="false">IFERROR(__xludf.dummyfunction("""COMPUTED_VALUE"""),"")</f>
        <v/>
      </c>
      <c r="K528" s="0" t="e">
        <f aca="false">IF(D528,"{""sku"":"""&amp;B528&amp;""", ""costo"":"&amp;C528&amp;", ""grupo"":"""&amp;A528&amp;""", ""lote"":"&amp;D528&amp;", ""tiempo"":"&amp;E528&amp;", "&amp;F528&amp;", ""vencimiento"":"&amp;G528&amp;IF(I528,", ""precio"":"&amp;I528,)&amp;", ""tipo"":"""&amp;H528&amp;"""},",)</f>
        <v>#VALUE!</v>
      </c>
    </row>
    <row r="529" customFormat="false" ht="13" hidden="false" customHeight="false" outlineLevel="0" collapsed="false">
      <c r="A529" s="17" t="n">
        <v>8</v>
      </c>
      <c r="B529" s="0" t="n">
        <f aca="false">IFERROR(__xludf.dummyfunction("""COMPUTED_VALUE"""),1110)</f>
        <v>1110</v>
      </c>
      <c r="C529" s="24" t="n">
        <f aca="false">IFERROR(__xludf.dummyfunction("""COMPUTED_VALUE"""),10)</f>
        <v>10</v>
      </c>
      <c r="D529" s="0" t="n">
        <f aca="false">IFERROR(__xludf.dummyfunction("""COMPUTED_VALUE"""),6)</f>
        <v>6</v>
      </c>
      <c r="E529" s="0" t="n">
        <f aca="false">IFERROR(__xludf.dummyfunction("""COMPUTED_VALUE"""),10)</f>
        <v>10</v>
      </c>
      <c r="F529" s="0" t="str">
        <f aca="false">IFERROR(__xludf.dummyfunction("filter(Formulas!$C:$C,Formulas!$A:$A=B529)"),"""formula"":[{""sku"":""1010"",""req"":1}]")</f>
        <v>"formula":[{"sku":"1010","req":1}]</v>
      </c>
      <c r="G529" s="0" t="n">
        <f aca="false">IFERROR(__xludf.dummyfunction("""COMPUTED_VALUE"""),2)</f>
        <v>2</v>
      </c>
      <c r="H529" s="21" t="str">
        <f aca="false">IFERROR(__xludf.dummyfunction("IF(D529,filter(Productos!AC:AC,Productos!A:A=B529),)"),"fabrica")</f>
        <v>fabrica</v>
      </c>
      <c r="I529" s="24" t="str">
        <f aca="false">IFERROR(__xludf.dummyfunction("""COMPUTED_VALUE"""),"")</f>
        <v/>
      </c>
      <c r="K529" s="0" t="e">
        <f aca="false">IF(D529,"{""sku"":"""&amp;B529&amp;""", ""costo"":"&amp;C529&amp;", ""grupo"":"""&amp;A529&amp;""", ""lote"":"&amp;D529&amp;", ""tiempo"":"&amp;E529&amp;", "&amp;F529&amp;", ""vencimiento"":"&amp;G529&amp;IF(I529,", ""precio"":"&amp;I529,)&amp;", ""tipo"":"""&amp;H529&amp;"""},",)</f>
        <v>#VALUE!</v>
      </c>
    </row>
    <row r="530" customFormat="false" ht="13" hidden="false" customHeight="false" outlineLevel="0" collapsed="false">
      <c r="A530" s="16" t="n">
        <v>8</v>
      </c>
      <c r="B530" s="0" t="n">
        <f aca="false">IFERROR(__xludf.dummyfunction("""COMPUTED_VALUE"""),1111)</f>
        <v>1111</v>
      </c>
      <c r="C530" s="24" t="n">
        <f aca="false">IFERROR(__xludf.dummyfunction("""COMPUTED_VALUE"""),120)</f>
        <v>120</v>
      </c>
      <c r="D530" s="0" t="n">
        <f aca="false">IFERROR(__xludf.dummyfunction("""COMPUTED_VALUE"""),2)</f>
        <v>2</v>
      </c>
      <c r="E530" s="0" t="n">
        <f aca="false">IFERROR(__xludf.dummyfunction("""COMPUTED_VALUE"""),30)</f>
        <v>30</v>
      </c>
      <c r="F530" s="0" t="str">
        <f aca="false">IFERROR(__xludf.dummyfunction("filter(Formulas!$C:$C,Formulas!$A:$A=B530)"),"""formula"":[{""sku"":""1011"",""req"":2}]")</f>
        <v>"formula":[{"sku":"1011","req":2}]</v>
      </c>
      <c r="G530" s="0" t="n">
        <f aca="false">IFERROR(__xludf.dummyfunction("""COMPUTED_VALUE"""),12)</f>
        <v>12</v>
      </c>
      <c r="H530" s="21" t="str">
        <f aca="false">IFERROR(__xludf.dummyfunction("IF(D530,filter(Productos!AC:AC,Productos!A:A=B530),)"),"fabrica")</f>
        <v>fabrica</v>
      </c>
      <c r="I530" s="24" t="str">
        <f aca="false">IFERROR(__xludf.dummyfunction("""COMPUTED_VALUE"""),"")</f>
        <v/>
      </c>
      <c r="K530" s="0" t="e">
        <f aca="false">IF(D530,"{""sku"":"""&amp;B530&amp;""", ""costo"":"&amp;C530&amp;", ""grupo"":"""&amp;A530&amp;""", ""lote"":"&amp;D530&amp;", ""tiempo"":"&amp;E530&amp;", "&amp;F530&amp;", ""vencimiento"":"&amp;G530&amp;IF(I530,", ""precio"":"&amp;I530,)&amp;", ""tipo"":"""&amp;H530&amp;"""},",)</f>
        <v>#VALUE!</v>
      </c>
    </row>
    <row r="531" customFormat="false" ht="13" hidden="false" customHeight="false" outlineLevel="0" collapsed="false">
      <c r="A531" s="17" t="n">
        <v>8</v>
      </c>
      <c r="B531" s="0" t="n">
        <f aca="false">IFERROR(__xludf.dummyfunction("""COMPUTED_VALUE"""),1112)</f>
        <v>1112</v>
      </c>
      <c r="C531" s="24" t="n">
        <f aca="false">IFERROR(__xludf.dummyfunction("""COMPUTED_VALUE"""),10)</f>
        <v>10</v>
      </c>
      <c r="D531" s="0" t="n">
        <f aca="false">IFERROR(__xludf.dummyfunction("""COMPUTED_VALUE"""),20)</f>
        <v>20</v>
      </c>
      <c r="E531" s="0" t="n">
        <f aca="false">IFERROR(__xludf.dummyfunction("""COMPUTED_VALUE"""),10)</f>
        <v>10</v>
      </c>
      <c r="F531" s="0" t="str">
        <f aca="false">IFERROR(__xludf.dummyfunction("filter(Formulas!$C:$C,Formulas!$A:$A=B531)"),"""formula"":[{""sku"":""1012"",""req"":1}]")</f>
        <v>"formula":[{"sku":"1012","req":1}]</v>
      </c>
      <c r="G531" s="0" t="n">
        <f aca="false">IFERROR(__xludf.dummyfunction("""COMPUTED_VALUE"""),24)</f>
        <v>24</v>
      </c>
      <c r="H531" s="21" t="str">
        <f aca="false">IFERROR(__xludf.dummyfunction("IF(D531,filter(Productos!AC:AC,Productos!A:A=B531),)"),"fabrica")</f>
        <v>fabrica</v>
      </c>
      <c r="I531" s="24" t="str">
        <f aca="false">IFERROR(__xludf.dummyfunction("""COMPUTED_VALUE"""),"")</f>
        <v/>
      </c>
      <c r="K531" s="0" t="e">
        <f aca="false">IF(D531,"{""sku"":"""&amp;B531&amp;""", ""costo"":"&amp;C531&amp;", ""grupo"":"""&amp;A531&amp;""", ""lote"":"&amp;D531&amp;", ""tiempo"":"&amp;E531&amp;", "&amp;F531&amp;", ""vencimiento"":"&amp;G531&amp;IF(I531,", ""precio"":"&amp;I531,)&amp;", ""tipo"":"""&amp;H531&amp;"""},",)</f>
        <v>#VALUE!</v>
      </c>
    </row>
    <row r="532" customFormat="false" ht="13" hidden="false" customHeight="false" outlineLevel="0" collapsed="false">
      <c r="A532" s="16" t="n">
        <v>8</v>
      </c>
      <c r="B532" s="0" t="n">
        <f aca="false">IFERROR(__xludf.dummyfunction("""COMPUTED_VALUE"""),1114)</f>
        <v>1114</v>
      </c>
      <c r="C532" s="24" t="n">
        <f aca="false">IFERROR(__xludf.dummyfunction("""COMPUTED_VALUE"""),10)</f>
        <v>10</v>
      </c>
      <c r="D532" s="0" t="n">
        <f aca="false">IFERROR(__xludf.dummyfunction("""COMPUTED_VALUE"""),4)</f>
        <v>4</v>
      </c>
      <c r="E532" s="0" t="n">
        <f aca="false">IFERROR(__xludf.dummyfunction("""COMPUTED_VALUE"""),10)</f>
        <v>10</v>
      </c>
      <c r="F532" s="0" t="str">
        <f aca="false">IFERROR(__xludf.dummyfunction("filter(Formulas!$C:$C,Formulas!$A:$A=B532)"),"""formula"":[{""sku"":""1014"",""req"":1}]")</f>
        <v>"formula":[{"sku":"1014","req":1}]</v>
      </c>
      <c r="G532" s="0" t="n">
        <f aca="false">IFERROR(__xludf.dummyfunction("""COMPUTED_VALUE"""),2)</f>
        <v>2</v>
      </c>
      <c r="H532" s="21" t="str">
        <f aca="false">IFERROR(__xludf.dummyfunction("IF(D532,filter(Productos!AC:AC,Productos!A:A=B532),)"),"fabrica")</f>
        <v>fabrica</v>
      </c>
      <c r="I532" s="24" t="str">
        <f aca="false">IFERROR(__xludf.dummyfunction("""COMPUTED_VALUE"""),"")</f>
        <v/>
      </c>
      <c r="K532" s="0" t="e">
        <f aca="false">IF(D532,"{""sku"":"""&amp;B532&amp;""", ""costo"":"&amp;C532&amp;", ""grupo"":"""&amp;A532&amp;""", ""lote"":"&amp;D532&amp;", ""tiempo"":"&amp;E532&amp;", "&amp;F532&amp;", ""vencimiento"":"&amp;G532&amp;IF(I532,", ""precio"":"&amp;I532,)&amp;", ""tipo"":"""&amp;H532&amp;"""},",)</f>
        <v>#VALUE!</v>
      </c>
    </row>
    <row r="533" customFormat="false" ht="13" hidden="false" customHeight="false" outlineLevel="0" collapsed="false">
      <c r="A533" s="17" t="n">
        <v>8</v>
      </c>
      <c r="B533" s="0" t="n">
        <f aca="false">IFERROR(__xludf.dummyfunction("""COMPUTED_VALUE"""),1115)</f>
        <v>1115</v>
      </c>
      <c r="C533" s="24" t="n">
        <f aca="false">IFERROR(__xludf.dummyfunction("""COMPUTED_VALUE"""),10)</f>
        <v>10</v>
      </c>
      <c r="D533" s="0" t="n">
        <f aca="false">IFERROR(__xludf.dummyfunction("""COMPUTED_VALUE"""),8)</f>
        <v>8</v>
      </c>
      <c r="E533" s="0" t="n">
        <f aca="false">IFERROR(__xludf.dummyfunction("""COMPUTED_VALUE"""),10)</f>
        <v>10</v>
      </c>
      <c r="F533" s="0" t="str">
        <f aca="false">IFERROR(__xludf.dummyfunction("filter(Formulas!$C:$C,Formulas!$A:$A=B533)"),"""formula"":[{""sku"":""1015"",""req"":2}]")</f>
        <v>"formula":[{"sku":"1015","req":2}]</v>
      </c>
      <c r="G533" s="0" t="n">
        <f aca="false">IFERROR(__xludf.dummyfunction("""COMPUTED_VALUE"""),3)</f>
        <v>3</v>
      </c>
      <c r="H533" s="21" t="str">
        <f aca="false">IFERROR(__xludf.dummyfunction("IF(D533,filter(Productos!AC:AC,Productos!A:A=B533),)"),"fabrica")</f>
        <v>fabrica</v>
      </c>
      <c r="I533" s="24" t="str">
        <f aca="false">IFERROR(__xludf.dummyfunction("""COMPUTED_VALUE"""),"")</f>
        <v/>
      </c>
      <c r="K533" s="0" t="e">
        <f aca="false">IF(D533,"{""sku"":"""&amp;B533&amp;""", ""costo"":"&amp;C533&amp;", ""grupo"":"""&amp;A533&amp;""", ""lote"":"&amp;D533&amp;", ""tiempo"":"&amp;E533&amp;", "&amp;F533&amp;", ""vencimiento"":"&amp;G533&amp;IF(I533,", ""precio"":"&amp;I533,)&amp;", ""tipo"":"""&amp;H533&amp;"""},",)</f>
        <v>#VALUE!</v>
      </c>
    </row>
    <row r="534" customFormat="false" ht="13" hidden="false" customHeight="false" outlineLevel="0" collapsed="false">
      <c r="A534" s="16" t="n">
        <v>8</v>
      </c>
      <c r="B534" s="0" t="n">
        <f aca="false">IFERROR(__xludf.dummyfunction("""COMPUTED_VALUE"""),1116)</f>
        <v>1116</v>
      </c>
      <c r="C534" s="24" t="n">
        <f aca="false">IFERROR(__xludf.dummyfunction("""COMPUTED_VALUE"""),10)</f>
        <v>10</v>
      </c>
      <c r="D534" s="0" t="n">
        <f aca="false">IFERROR(__xludf.dummyfunction("""COMPUTED_VALUE"""),10)</f>
        <v>10</v>
      </c>
      <c r="E534" s="0" t="n">
        <f aca="false">IFERROR(__xludf.dummyfunction("""COMPUTED_VALUE"""),40)</f>
        <v>40</v>
      </c>
      <c r="F534" s="0" t="str">
        <f aca="false">IFERROR(__xludf.dummyfunction("filter(Formulas!$C:$C,Formulas!$A:$A=B534)"),"""formula"":[{""sku"":""1016"",""req"":11}]")</f>
        <v>"formula":[{"sku":"1016","req":11}]</v>
      </c>
      <c r="G534" s="0" t="n">
        <f aca="false">IFERROR(__xludf.dummyfunction("""COMPUTED_VALUE"""),24)</f>
        <v>24</v>
      </c>
      <c r="H534" s="21" t="str">
        <f aca="false">IFERROR(__xludf.dummyfunction("IF(D534,filter(Productos!AC:AC,Productos!A:A=B534),)"),"fabrica")</f>
        <v>fabrica</v>
      </c>
      <c r="I534" s="0" t="str">
        <f aca="false">IFERROR(__xludf.dummyfunction("""COMPUTED_VALUE"""),"")</f>
        <v/>
      </c>
      <c r="K534" s="0" t="e">
        <f aca="false">IF(D534,"{""sku"":"""&amp;B534&amp;""", ""costo"":"&amp;C534&amp;", ""grupo"":"""&amp;A534&amp;""", ""lote"":"&amp;D534&amp;", ""tiempo"":"&amp;E534&amp;", "&amp;F534&amp;", ""vencimiento"":"&amp;G534&amp;IF(I534,", ""precio"":"&amp;I534,)&amp;", ""tipo"":"""&amp;H534&amp;"""},",)</f>
        <v>#VALUE!</v>
      </c>
    </row>
    <row r="535" customFormat="false" ht="13" hidden="false" customHeight="false" outlineLevel="0" collapsed="false">
      <c r="A535" s="17" t="n">
        <v>8</v>
      </c>
      <c r="B535" s="0" t="n">
        <f aca="false">IFERROR(__xludf.dummyfunction("""COMPUTED_VALUE"""),1201)</f>
        <v>1201</v>
      </c>
      <c r="C535" s="24" t="n">
        <f aca="false">IFERROR(__xludf.dummyfunction("""COMPUTED_VALUE"""),10)</f>
        <v>10</v>
      </c>
      <c r="D535" s="0" t="n">
        <f aca="false">IFERROR(__xludf.dummyfunction("""COMPUTED_VALUE"""),10)</f>
        <v>10</v>
      </c>
      <c r="E535" s="0" t="n">
        <f aca="false">IFERROR(__xludf.dummyfunction("""COMPUTED_VALUE"""),10)</f>
        <v>10</v>
      </c>
      <c r="F535" s="0" t="str">
        <f aca="false">IFERROR(__xludf.dummyfunction("filter(Formulas!$C:$C,Formulas!$A:$A=B535)"),"""formula"":[{""sku"":""1101"",""req"":1}]")</f>
        <v>"formula":[{"sku":"1101","req":1}]</v>
      </c>
      <c r="G535" s="0" t="n">
        <f aca="false">IFERROR(__xludf.dummyfunction("""COMPUTED_VALUE"""),2)</f>
        <v>2</v>
      </c>
      <c r="H535" s="21" t="str">
        <f aca="false">IFERROR(__xludf.dummyfunction("IF(D535,filter(Productos!AC:AC,Productos!A:A=B535),)"),"fabrica")</f>
        <v>fabrica</v>
      </c>
      <c r="I535" s="24" t="str">
        <f aca="false">IFERROR(__xludf.dummyfunction("""COMPUTED_VALUE"""),"")</f>
        <v/>
      </c>
      <c r="K535" s="0" t="e">
        <f aca="false">IF(D535,"{""sku"":"""&amp;B535&amp;""", ""costo"":"&amp;C535&amp;", ""grupo"":"""&amp;A535&amp;""", ""lote"":"&amp;D535&amp;", ""tiempo"":"&amp;E535&amp;", "&amp;F535&amp;", ""vencimiento"":"&amp;G535&amp;IF(I535,", ""precio"":"&amp;I535,)&amp;", ""tipo"":"""&amp;H535&amp;"""},",)</f>
        <v>#VALUE!</v>
      </c>
    </row>
    <row r="536" customFormat="false" ht="13" hidden="false" customHeight="false" outlineLevel="0" collapsed="false">
      <c r="A536" s="16" t="n">
        <v>8</v>
      </c>
      <c r="B536" s="0" t="n">
        <f aca="false">IFERROR(__xludf.dummyfunction("""COMPUTED_VALUE"""),1207)</f>
        <v>1207</v>
      </c>
      <c r="C536" s="24" t="n">
        <f aca="false">IFERROR(__xludf.dummyfunction("""COMPUTED_VALUE"""),30)</f>
        <v>30</v>
      </c>
      <c r="D536" s="0" t="n">
        <f aca="false">IFERROR(__xludf.dummyfunction("""COMPUTED_VALUE"""),12)</f>
        <v>12</v>
      </c>
      <c r="E536" s="0" t="n">
        <f aca="false">IFERROR(__xludf.dummyfunction("""COMPUTED_VALUE"""),20)</f>
        <v>20</v>
      </c>
      <c r="F536" s="0" t="str">
        <f aca="false">IFERROR(__xludf.dummyfunction("filter(Formulas!$C:$C,Formulas!$A:$A=B536)"),"""formula"":[{""sku"":""1007"",""req"":1}]")</f>
        <v>"formula":[{"sku":"1007","req":1}]</v>
      </c>
      <c r="G536" s="0" t="n">
        <f aca="false">IFERROR(__xludf.dummyfunction("""COMPUTED_VALUE"""),2)</f>
        <v>2</v>
      </c>
      <c r="H536" s="21" t="str">
        <f aca="false">IFERROR(__xludf.dummyfunction("IF(D536,filter(Productos!AC:AC,Productos!A:A=B536),)"),"fabrica")</f>
        <v>fabrica</v>
      </c>
      <c r="I536" s="24" t="str">
        <f aca="false">IFERROR(__xludf.dummyfunction("""COMPUTED_VALUE"""),"")</f>
        <v/>
      </c>
      <c r="K536" s="0" t="e">
        <f aca="false">IF(D536,"{""sku"":"""&amp;B536&amp;""", ""costo"":"&amp;C536&amp;", ""grupo"":"""&amp;A536&amp;""", ""lote"":"&amp;D536&amp;", ""tiempo"":"&amp;E536&amp;", "&amp;F536&amp;", ""vencimiento"":"&amp;G536&amp;IF(I536,", ""precio"":"&amp;I536,)&amp;", ""tipo"":"""&amp;H536&amp;"""},",)</f>
        <v>#VALUE!</v>
      </c>
    </row>
    <row r="537" customFormat="false" ht="13" hidden="false" customHeight="false" outlineLevel="0" collapsed="false">
      <c r="A537" s="17" t="n">
        <v>8</v>
      </c>
      <c r="B537" s="0" t="n">
        <f aca="false">IFERROR(__xludf.dummyfunction("""COMPUTED_VALUE"""),1209)</f>
        <v>1209</v>
      </c>
      <c r="C537" s="24" t="n">
        <f aca="false">IFERROR(__xludf.dummyfunction("""COMPUTED_VALUE"""),30)</f>
        <v>30</v>
      </c>
      <c r="D537" s="0" t="n">
        <f aca="false">IFERROR(__xludf.dummyfunction("""COMPUTED_VALUE"""),14)</f>
        <v>14</v>
      </c>
      <c r="E537" s="0" t="n">
        <f aca="false">IFERROR(__xludf.dummyfunction("""COMPUTED_VALUE"""),30)</f>
        <v>30</v>
      </c>
      <c r="F537" s="0" t="str">
        <f aca="false">IFERROR(__xludf.dummyfunction("filter(Formulas!$C:$C,Formulas!$A:$A=B537)"),"""formula"":[{""sku"":""1009"",""req"":1}]")</f>
        <v>"formula":[{"sku":"1009","req":1}]</v>
      </c>
      <c r="G537" s="0" t="n">
        <f aca="false">IFERROR(__xludf.dummyfunction("""COMPUTED_VALUE"""),1.5)</f>
        <v>1.5</v>
      </c>
      <c r="H537" s="21" t="str">
        <f aca="false">IFERROR(__xludf.dummyfunction("IF(D537,filter(Productos!AC:AC,Productos!A:A=B537),)"),"fabrica")</f>
        <v>fabrica</v>
      </c>
      <c r="I537" s="24" t="str">
        <f aca="false">IFERROR(__xludf.dummyfunction("""COMPUTED_VALUE"""),"")</f>
        <v/>
      </c>
      <c r="K537" s="0" t="e">
        <f aca="false">IF(D537,"{""sku"":"""&amp;B537&amp;""", ""costo"":"&amp;C537&amp;", ""grupo"":"""&amp;A537&amp;""", ""lote"":"&amp;D537&amp;", ""tiempo"":"&amp;E537&amp;", "&amp;F537&amp;", ""vencimiento"":"&amp;G537&amp;IF(I537,", ""precio"":"&amp;I537,)&amp;", ""tipo"":"""&amp;H537&amp;"""},",)</f>
        <v>#VALUE!</v>
      </c>
    </row>
    <row r="538" customFormat="false" ht="13" hidden="false" customHeight="false" outlineLevel="0" collapsed="false">
      <c r="A538" s="16" t="n">
        <v>8</v>
      </c>
      <c r="B538" s="0" t="n">
        <f aca="false">IFERROR(__xludf.dummyfunction("""COMPUTED_VALUE"""),1210)</f>
        <v>1210</v>
      </c>
      <c r="C538" s="24" t="n">
        <f aca="false">IFERROR(__xludf.dummyfunction("""COMPUTED_VALUE"""),10)</f>
        <v>10</v>
      </c>
      <c r="D538" s="0" t="n">
        <f aca="false">IFERROR(__xludf.dummyfunction("""COMPUTED_VALUE"""),9)</f>
        <v>9</v>
      </c>
      <c r="E538" s="0" t="n">
        <f aca="false">IFERROR(__xludf.dummyfunction("""COMPUTED_VALUE"""),10)</f>
        <v>10</v>
      </c>
      <c r="F538" s="0" t="str">
        <f aca="false">IFERROR(__xludf.dummyfunction("filter(Formulas!$C:$C,Formulas!$A:$A=B538)"),"""formula"":[{""sku"":""1010"",""req"":1}]")</f>
        <v>"formula":[{"sku":"1010","req":1}]</v>
      </c>
      <c r="G538" s="0" t="n">
        <f aca="false">IFERROR(__xludf.dummyfunction("""COMPUTED_VALUE"""),2.3)</f>
        <v>2.3</v>
      </c>
      <c r="H538" s="21" t="str">
        <f aca="false">IFERROR(__xludf.dummyfunction("IF(D538,filter(Productos!AC:AC,Productos!A:A=B538),)"),"fabrica")</f>
        <v>fabrica</v>
      </c>
      <c r="I538" s="24" t="str">
        <f aca="false">IFERROR(__xludf.dummyfunction("""COMPUTED_VALUE"""),"")</f>
        <v/>
      </c>
      <c r="K538" s="0" t="e">
        <f aca="false">IF(D538,"{""sku"":"""&amp;B538&amp;""", ""costo"":"&amp;C538&amp;", ""grupo"":"""&amp;A538&amp;""", ""lote"":"&amp;D538&amp;", ""tiempo"":"&amp;E538&amp;", "&amp;F538&amp;", ""vencimiento"":"&amp;G538&amp;IF(I538,", ""precio"":"&amp;I538,)&amp;", ""tipo"":"""&amp;H538&amp;"""},",)</f>
        <v>#VALUE!</v>
      </c>
    </row>
    <row r="539" customFormat="false" ht="13" hidden="false" customHeight="false" outlineLevel="0" collapsed="false">
      <c r="A539" s="17" t="n">
        <v>8</v>
      </c>
      <c r="B539" s="0" t="n">
        <f aca="false">IFERROR(__xludf.dummyfunction("""COMPUTED_VALUE"""),1211)</f>
        <v>1211</v>
      </c>
      <c r="C539" s="24" t="n">
        <f aca="false">IFERROR(__xludf.dummyfunction("""COMPUTED_VALUE"""),10)</f>
        <v>10</v>
      </c>
      <c r="D539" s="0" t="n">
        <f aca="false">IFERROR(__xludf.dummyfunction("""COMPUTED_VALUE"""),10)</f>
        <v>10</v>
      </c>
      <c r="E539" s="0" t="n">
        <f aca="false">IFERROR(__xludf.dummyfunction("""COMPUTED_VALUE"""),10)</f>
        <v>10</v>
      </c>
      <c r="F539" s="0" t="str">
        <f aca="false">IFERROR(__xludf.dummyfunction("filter(Formulas!$C:$C,Formulas!$A:$A=B539)"),"""formula"":[{""sku"":""1111"",""req"":1}]")</f>
        <v>"formula":[{"sku":"1111","req":1}]</v>
      </c>
      <c r="G539" s="0" t="n">
        <f aca="false">IFERROR(__xludf.dummyfunction("""COMPUTED_VALUE"""),12)</f>
        <v>12</v>
      </c>
      <c r="H539" s="21" t="str">
        <f aca="false">IFERROR(__xludf.dummyfunction("IF(D539,filter(Productos!AC:AC,Productos!A:A=B539),)"),"fabrica")</f>
        <v>fabrica</v>
      </c>
      <c r="I539" s="24" t="str">
        <f aca="false">IFERROR(__xludf.dummyfunction("""COMPUTED_VALUE"""),"")</f>
        <v/>
      </c>
      <c r="K539" s="0" t="e">
        <f aca="false">IF(D539,"{""sku"":"""&amp;B539&amp;""", ""costo"":"&amp;C539&amp;", ""grupo"":"""&amp;A539&amp;""", ""lote"":"&amp;D539&amp;", ""tiempo"":"&amp;E539&amp;", "&amp;F539&amp;", ""vencimiento"":"&amp;G539&amp;IF(I539,", ""precio"":"&amp;I539,)&amp;", ""tipo"":"""&amp;H539&amp;"""},",)</f>
        <v>#VALUE!</v>
      </c>
    </row>
    <row r="540" customFormat="false" ht="13" hidden="false" customHeight="false" outlineLevel="0" collapsed="false">
      <c r="A540" s="16" t="n">
        <v>8</v>
      </c>
      <c r="B540" s="0" t="n">
        <f aca="false">IFERROR(__xludf.dummyfunction("""COMPUTED_VALUE"""),1215)</f>
        <v>1215</v>
      </c>
      <c r="C540" s="24" t="n">
        <f aca="false">IFERROR(__xludf.dummyfunction("""COMPUTED_VALUE"""),0)</f>
        <v>0</v>
      </c>
      <c r="D540" s="0" t="n">
        <f aca="false">IFERROR(__xludf.dummyfunction("""COMPUTED_VALUE"""),8)</f>
        <v>8</v>
      </c>
      <c r="E540" s="0" t="n">
        <f aca="false">IFERROR(__xludf.dummyfunction("""COMPUTED_VALUE"""),10)</f>
        <v>10</v>
      </c>
      <c r="F540" s="0" t="str">
        <f aca="false">IFERROR(__xludf.dummyfunction("filter(Formulas!$C:$C,Formulas!$A:$A=B540)"),"""formula"":[{""sku"":""1015"",""req"":4}]")</f>
        <v>"formula":[{"sku":"1015","req":4}]</v>
      </c>
      <c r="G540" s="0" t="n">
        <f aca="false">IFERROR(__xludf.dummyfunction("""COMPUTED_VALUE"""),3)</f>
        <v>3</v>
      </c>
      <c r="H540" s="21" t="str">
        <f aca="false">IFERROR(__xludf.dummyfunction("IF(D540,filter(Productos!AC:AC,Productos!A:A=B540),)"),"fabrica")</f>
        <v>fabrica</v>
      </c>
      <c r="I540" s="24" t="str">
        <f aca="false">IFERROR(__xludf.dummyfunction("""COMPUTED_VALUE"""),"")</f>
        <v/>
      </c>
      <c r="K540" s="0" t="e">
        <f aca="false">IF(D540,"{""sku"":"""&amp;B540&amp;""", ""costo"":"&amp;C540&amp;", ""grupo"":"""&amp;A540&amp;""", ""lote"":"&amp;D540&amp;", ""tiempo"":"&amp;E540&amp;", "&amp;F540&amp;", ""vencimiento"":"&amp;G540&amp;IF(I540,", ""precio"":"&amp;I540,)&amp;", ""tipo"":"""&amp;H540&amp;"""},",)</f>
        <v>#VALUE!</v>
      </c>
    </row>
    <row r="541" customFormat="false" ht="13" hidden="false" customHeight="false" outlineLevel="0" collapsed="false">
      <c r="A541" s="17" t="n">
        <v>8</v>
      </c>
      <c r="B541" s="0" t="n">
        <f aca="false">IFERROR(__xludf.dummyfunction("""COMPUTED_VALUE"""),1216)</f>
        <v>1216</v>
      </c>
      <c r="C541" s="24" t="n">
        <f aca="false">IFERROR(__xludf.dummyfunction("""COMPUTED_VALUE"""),10)</f>
        <v>10</v>
      </c>
      <c r="D541" s="0" t="n">
        <f aca="false">IFERROR(__xludf.dummyfunction("""COMPUTED_VALUE"""),10)</f>
        <v>10</v>
      </c>
      <c r="E541" s="0" t="n">
        <f aca="false">IFERROR(__xludf.dummyfunction("""COMPUTED_VALUE"""),30)</f>
        <v>30</v>
      </c>
      <c r="F541" s="0" t="str">
        <f aca="false">IFERROR(__xludf.dummyfunction("filter(Formulas!$C:$C,Formulas!$A:$A=B541)"),"""formula"":[{""sku"":""1016"",""req"":2}]")</f>
        <v>"formula":[{"sku":"1016","req":2}]</v>
      </c>
      <c r="G541" s="0" t="n">
        <f aca="false">IFERROR(__xludf.dummyfunction("""COMPUTED_VALUE"""),24)</f>
        <v>24</v>
      </c>
      <c r="H541" s="21" t="str">
        <f aca="false">IFERROR(__xludf.dummyfunction("IF(D541,filter(Productos!AC:AC,Productos!A:A=B541),)"),"fabrica")</f>
        <v>fabrica</v>
      </c>
      <c r="I541" s="0" t="str">
        <f aca="false">IFERROR(__xludf.dummyfunction("""COMPUTED_VALUE"""),"")</f>
        <v/>
      </c>
      <c r="K541" s="0" t="e">
        <f aca="false">IF(D541,"{""sku"":"""&amp;B541&amp;""", ""costo"":"&amp;C541&amp;", ""grupo"":"""&amp;A541&amp;""", ""lote"":"&amp;D541&amp;", ""tiempo"":"&amp;E541&amp;", "&amp;F541&amp;", ""vencimiento"":"&amp;G541&amp;IF(I541,", ""precio"":"&amp;I541,)&amp;", ""tipo"":"""&amp;H541&amp;"""},",)</f>
        <v>#VALUE!</v>
      </c>
    </row>
    <row r="542" customFormat="false" ht="13" hidden="false" customHeight="false" outlineLevel="0" collapsed="false">
      <c r="A542" s="16" t="n">
        <v>8</v>
      </c>
      <c r="B542" s="0" t="n">
        <f aca="false">IFERROR(__xludf.dummyfunction("""COMPUTED_VALUE"""),1301)</f>
        <v>1301</v>
      </c>
      <c r="C542" s="24" t="n">
        <f aca="false">IFERROR(__xludf.dummyfunction("""COMPUTED_VALUE"""),10)</f>
        <v>10</v>
      </c>
      <c r="D542" s="0" t="n">
        <f aca="false">IFERROR(__xludf.dummyfunction("""COMPUTED_VALUE"""),5)</f>
        <v>5</v>
      </c>
      <c r="E542" s="0" t="n">
        <f aca="false">IFERROR(__xludf.dummyfunction("""COMPUTED_VALUE"""),10)</f>
        <v>10</v>
      </c>
      <c r="F542" s="0" t="str">
        <f aca="false">IFERROR(__xludf.dummyfunction("filter(Formulas!$C:$C,Formulas!$A:$A=B542)"),"""formula"":[{""sku"":""1101"",""req"":1}]")</f>
        <v>"formula":[{"sku":"1101","req":1}]</v>
      </c>
      <c r="G542" s="0" t="n">
        <f aca="false">IFERROR(__xludf.dummyfunction("""COMPUTED_VALUE"""),2)</f>
        <v>2</v>
      </c>
      <c r="H542" s="21" t="str">
        <f aca="false">IFERROR(__xludf.dummyfunction("IF(D542,filter(Productos!AC:AC,Productos!A:A=B542),)"),"fabrica")</f>
        <v>fabrica</v>
      </c>
      <c r="I542" s="24" t="str">
        <f aca="false">IFERROR(__xludf.dummyfunction("""COMPUTED_VALUE"""),"")</f>
        <v/>
      </c>
      <c r="K542" s="0" t="e">
        <f aca="false">IF(D542,"{""sku"":"""&amp;B542&amp;""", ""costo"":"&amp;C542&amp;", ""grupo"":"""&amp;A542&amp;""", ""lote"":"&amp;D542&amp;", ""tiempo"":"&amp;E542&amp;", "&amp;F542&amp;", ""vencimiento"":"&amp;G542&amp;IF(I542,", ""precio"":"&amp;I542,)&amp;", ""tipo"":"""&amp;H542&amp;"""},",)</f>
        <v>#VALUE!</v>
      </c>
    </row>
    <row r="543" customFormat="false" ht="13" hidden="false" customHeight="false" outlineLevel="0" collapsed="false">
      <c r="A543" s="17" t="n">
        <v>8</v>
      </c>
      <c r="B543" s="0" t="n">
        <f aca="false">IFERROR(__xludf.dummyfunction("""COMPUTED_VALUE"""),1307)</f>
        <v>1307</v>
      </c>
      <c r="C543" s="24" t="n">
        <f aca="false">IFERROR(__xludf.dummyfunction("""COMPUTED_VALUE"""),50)</f>
        <v>50</v>
      </c>
      <c r="D543" s="0" t="n">
        <f aca="false">IFERROR(__xludf.dummyfunction("""COMPUTED_VALUE"""),11)</f>
        <v>11</v>
      </c>
      <c r="E543" s="0" t="n">
        <f aca="false">IFERROR(__xludf.dummyfunction("""COMPUTED_VALUE"""),30)</f>
        <v>30</v>
      </c>
      <c r="F543" s="0" t="str">
        <f aca="false">IFERROR(__xludf.dummyfunction("filter(Formulas!$C:$C,Formulas!$A:$A=B543)"),"""formula"":[{""sku"":""1007"",""req"":1}]")</f>
        <v>"formula":[{"sku":"1007","req":1}]</v>
      </c>
      <c r="G543" s="0" t="n">
        <f aca="false">IFERROR(__xludf.dummyfunction("""COMPUTED_VALUE"""),1.2)</f>
        <v>1.2</v>
      </c>
      <c r="H543" s="21" t="str">
        <f aca="false">IFERROR(__xludf.dummyfunction("IF(D543,filter(Productos!AC:AC,Productos!A:A=B543),)"),"fabrica")</f>
        <v>fabrica</v>
      </c>
      <c r="I543" s="24" t="str">
        <f aca="false">IFERROR(__xludf.dummyfunction("""COMPUTED_VALUE"""),"")</f>
        <v/>
      </c>
      <c r="K543" s="0" t="e">
        <f aca="false">IF(D543,"{""sku"":"""&amp;B543&amp;""", ""costo"":"&amp;C543&amp;", ""grupo"":"""&amp;A543&amp;""", ""lote"":"&amp;D543&amp;", ""tiempo"":"&amp;E543&amp;", "&amp;F543&amp;", ""vencimiento"":"&amp;G543&amp;IF(I543,", ""precio"":"&amp;I543,)&amp;", ""tipo"":"""&amp;H543&amp;"""},",)</f>
        <v>#VALUE!</v>
      </c>
    </row>
    <row r="544" customFormat="false" ht="13" hidden="false" customHeight="false" outlineLevel="0" collapsed="false">
      <c r="A544" s="16" t="n">
        <v>8</v>
      </c>
      <c r="B544" s="0" t="n">
        <f aca="false">IFERROR(__xludf.dummyfunction("""COMPUTED_VALUE"""),1309)</f>
        <v>1309</v>
      </c>
      <c r="C544" s="24" t="n">
        <f aca="false">IFERROR(__xludf.dummyfunction("""COMPUTED_VALUE"""),50)</f>
        <v>50</v>
      </c>
      <c r="D544" s="0" t="n">
        <f aca="false">IFERROR(__xludf.dummyfunction("""COMPUTED_VALUE"""),11)</f>
        <v>11</v>
      </c>
      <c r="E544" s="0" t="n">
        <f aca="false">IFERROR(__xludf.dummyfunction("""COMPUTED_VALUE"""),50)</f>
        <v>50</v>
      </c>
      <c r="F544" s="0" t="str">
        <f aca="false">IFERROR(__xludf.dummyfunction("filter(Formulas!$C:$C,Formulas!$A:$A=B544)"),"""formula"":[{""sku"":""1009"",""req"":1}]")</f>
        <v>"formula":[{"sku":"1009","req":1}]</v>
      </c>
      <c r="G544" s="0" t="n">
        <f aca="false">IFERROR(__xludf.dummyfunction("""COMPUTED_VALUE"""),1.2)</f>
        <v>1.2</v>
      </c>
      <c r="H544" s="21" t="str">
        <f aca="false">IFERROR(__xludf.dummyfunction("IF(D544,filter(Productos!AC:AC,Productos!A:A=B544),)"),"fabrica")</f>
        <v>fabrica</v>
      </c>
      <c r="I544" s="24" t="str">
        <f aca="false">IFERROR(__xludf.dummyfunction("""COMPUTED_VALUE"""),"")</f>
        <v/>
      </c>
      <c r="K544" s="0" t="e">
        <f aca="false">IF(D544,"{""sku"":"""&amp;B544&amp;""", ""costo"":"&amp;C544&amp;", ""grupo"":"""&amp;A544&amp;""", ""lote"":"&amp;D544&amp;", ""tiempo"":"&amp;E544&amp;", "&amp;F544&amp;", ""vencimiento"":"&amp;G544&amp;IF(I544,", ""precio"":"&amp;I544,)&amp;", ""tipo"":"""&amp;H544&amp;"""},",)</f>
        <v>#VALUE!</v>
      </c>
    </row>
    <row r="545" customFormat="false" ht="13" hidden="false" customHeight="false" outlineLevel="0" collapsed="false">
      <c r="A545" s="17" t="n">
        <v>8</v>
      </c>
      <c r="B545" s="0" t="n">
        <f aca="false">IFERROR(__xludf.dummyfunction("""COMPUTED_VALUE"""),1310)</f>
        <v>1310</v>
      </c>
      <c r="C545" s="24" t="n">
        <f aca="false">IFERROR(__xludf.dummyfunction("""COMPUTED_VALUE"""),10)</f>
        <v>10</v>
      </c>
      <c r="D545" s="0" t="n">
        <f aca="false">IFERROR(__xludf.dummyfunction("""COMPUTED_VALUE"""),12)</f>
        <v>12</v>
      </c>
      <c r="E545" s="0" t="n">
        <f aca="false">IFERROR(__xludf.dummyfunction("""COMPUTED_VALUE"""),10)</f>
        <v>10</v>
      </c>
      <c r="F545" s="0" t="str">
        <f aca="false">IFERROR(__xludf.dummyfunction("filter(Formulas!$C:$C,Formulas!$A:$A=B545)"),"""formula"":[{""sku"":""1010"",""req"":1}]")</f>
        <v>"formula":[{"sku":"1010","req":1}]</v>
      </c>
      <c r="G545" s="0" t="n">
        <f aca="false">IFERROR(__xludf.dummyfunction("""COMPUTED_VALUE"""),2)</f>
        <v>2</v>
      </c>
      <c r="H545" s="21" t="str">
        <f aca="false">IFERROR(__xludf.dummyfunction("IF(D545,filter(Productos!AC:AC,Productos!A:A=B545),)"),"fabrica")</f>
        <v>fabrica</v>
      </c>
      <c r="I545" s="24" t="str">
        <f aca="false">IFERROR(__xludf.dummyfunction("""COMPUTED_VALUE"""),"")</f>
        <v/>
      </c>
      <c r="K545" s="0" t="e">
        <f aca="false">IF(D545,"{""sku"":"""&amp;B545&amp;""", ""costo"":"&amp;C545&amp;", ""grupo"":"""&amp;A545&amp;""", ""lote"":"&amp;D545&amp;", ""tiempo"":"&amp;E545&amp;", "&amp;F545&amp;", ""vencimiento"":"&amp;G545&amp;IF(I545,", ""precio"":"&amp;I545,)&amp;", ""tipo"":"""&amp;H545&amp;"""},",)</f>
        <v>#VALUE!</v>
      </c>
    </row>
    <row r="546" customFormat="false" ht="13" hidden="false" customHeight="false" outlineLevel="0" collapsed="false">
      <c r="A546" s="16" t="n">
        <v>8</v>
      </c>
      <c r="B546" s="0" t="n">
        <f aca="false">IFERROR(__xludf.dummyfunction("""COMPUTED_VALUE"""),1407)</f>
        <v>1407</v>
      </c>
      <c r="C546" s="24" t="n">
        <f aca="false">IFERROR(__xludf.dummyfunction("""COMPUTED_VALUE"""),10)</f>
        <v>10</v>
      </c>
      <c r="D546" s="0" t="n">
        <f aca="false">IFERROR(__xludf.dummyfunction("""COMPUTED_VALUE"""),14)</f>
        <v>14</v>
      </c>
      <c r="E546" s="0" t="n">
        <f aca="false">IFERROR(__xludf.dummyfunction("""COMPUTED_VALUE"""),30)</f>
        <v>30</v>
      </c>
      <c r="F546" s="0" t="str">
        <f aca="false">IFERROR(__xludf.dummyfunction("filter(Formulas!$C:$C,Formulas!$A:$A=B546)"),"""formula"":[{""sku"":""1007"",""req"":1}]")</f>
        <v>"formula":[{"sku":"1007","req":1}]</v>
      </c>
      <c r="G546" s="0" t="n">
        <f aca="false">IFERROR(__xludf.dummyfunction("""COMPUTED_VALUE"""),2)</f>
        <v>2</v>
      </c>
      <c r="H546" s="21" t="str">
        <f aca="false">IFERROR(__xludf.dummyfunction("IF(D546,filter(Productos!AC:AC,Productos!A:A=B546),)"),"fabrica")</f>
        <v>fabrica</v>
      </c>
      <c r="I546" s="24" t="str">
        <f aca="false">IFERROR(__xludf.dummyfunction("""COMPUTED_VALUE"""),"")</f>
        <v/>
      </c>
      <c r="K546" s="0" t="e">
        <f aca="false">IF(D546,"{""sku"":"""&amp;B546&amp;""", ""costo"":"&amp;C546&amp;", ""grupo"":"""&amp;A546&amp;""", ""lote"":"&amp;D546&amp;", ""tiempo"":"&amp;E546&amp;", "&amp;F546&amp;", ""vencimiento"":"&amp;G546&amp;IF(I546,", ""precio"":"&amp;I546,)&amp;", ""tipo"":"""&amp;H546&amp;"""},",)</f>
        <v>#VALUE!</v>
      </c>
    </row>
    <row r="547" customFormat="false" ht="13" hidden="false" customHeight="false" outlineLevel="0" collapsed="false">
      <c r="A547" s="17" t="n">
        <v>8</v>
      </c>
      <c r="B547" s="0" t="n">
        <f aca="false">IFERROR(__xludf.dummyfunction("""COMPUTED_VALUE"""),10001)</f>
        <v>10001</v>
      </c>
      <c r="C547" s="24" t="n">
        <f aca="false">IFERROR(__xludf.dummyfunction("""COMPUTED_VALUE"""),10)</f>
        <v>10</v>
      </c>
      <c r="D547" s="0" t="n">
        <f aca="false">IFERROR(__xludf.dummyfunction("""COMPUTED_VALUE"""),1)</f>
        <v>1</v>
      </c>
      <c r="E547" s="0" t="n">
        <f aca="false">IFERROR(__xludf.dummyfunction("""COMPUTED_VALUE"""),10)</f>
        <v>10</v>
      </c>
      <c r="F547" s="0" t="str">
        <f aca="false">IFERROR(__xludf.dummyfunction("filter(Formulas!$C:$C,Formulas!$A:$A=B547)"),"""formula"":[{""sku"":""1201"",""req"":1},{""sku"":""1105"",""req"":1},{""sku"":""1210"",""req"":1},{""sku"":""1211"",""req"":1},{""sku"":""1116"",""req"":1}]")</f>
        <v>"formula":[{"sku":"1201","req":1},{"sku":"1105","req":1},{"sku":"1210","req":1},{"sku":"1211","req":1},{"sku":"1116","req":1}]</v>
      </c>
      <c r="G547" s="0" t="n">
        <f aca="false">IFERROR(__xludf.dummyfunction("""COMPUTED_VALUE"""),1)</f>
        <v>1</v>
      </c>
      <c r="H547" s="21" t="str">
        <f aca="false">IFERROR(__xludf.dummyfunction("IF(D547,filter(Productos!AC:AC,Productos!A:A=B547),)"),"cocina")</f>
        <v>cocina</v>
      </c>
      <c r="I547" s="24" t="n">
        <f aca="false">IFERROR(__xludf.dummyfunction("""COMPUTED_VALUE"""),4500)</f>
        <v>4500</v>
      </c>
      <c r="K547" s="0" t="str">
        <f aca="false">IF(D547,"{""sku"":"""&amp;B547&amp;""", ""costo"":"&amp;C547&amp;", ""grupo"":"""&amp;A547&amp;""", ""lote"":"&amp;D547&amp;", ""tiempo"":"&amp;E547&amp;", "&amp;F547&amp;", ""vencimiento"":"&amp;G547&amp;IF(I547,", ""precio"":"&amp;I547,)&amp;", ""tipo"":"""&amp;H547&amp;"""},",)</f>
        <v>{"sku":"10001", "costo":10, "grupo":"8", "lote":1, "tiempo":10, "formula":[{"sku":"1201","req":1},{"sku":"1105","req":1},{"sku":"1210","req":1},{"sku":"1211","req":1},{"sku":"1116","req":1}], "vencimiento":1, "precio":4500, "tipo":"cocina"},</v>
      </c>
    </row>
    <row r="548" customFormat="false" ht="13" hidden="false" customHeight="false" outlineLevel="0" collapsed="false">
      <c r="A548" s="16" t="n">
        <v>8</v>
      </c>
      <c r="B548" s="0" t="n">
        <f aca="false">IFERROR(__xludf.dummyfunction("""COMPUTED_VALUE"""),10002)</f>
        <v>10002</v>
      </c>
      <c r="C548" s="24" t="n">
        <f aca="false">IFERROR(__xludf.dummyfunction("""COMPUTED_VALUE"""),10)</f>
        <v>10</v>
      </c>
      <c r="D548" s="0" t="n">
        <f aca="false">IFERROR(__xludf.dummyfunction("""COMPUTED_VALUE"""),1)</f>
        <v>1</v>
      </c>
      <c r="E548" s="0" t="n">
        <f aca="false">IFERROR(__xludf.dummyfunction("""COMPUTED_VALUE"""),20)</f>
        <v>20</v>
      </c>
      <c r="F548" s="0" t="str">
        <f aca="false">IFERROR(__xludf.dummyfunction("filter(Formulas!$C:$C,Formulas!$A:$A=B548)"),"""formula"":[{""sku"":""1201"",""req"":1},{""sku"":""1105"",""req"":1},{""sku"":""1013"",""req"":5},{""sku"":""1210"",""req"":1},{""sku"":""1116"",""req"":1}]")</f>
        <v>"formula":[{"sku":"1201","req":1},{"sku":"1105","req":1},{"sku":"1013","req":5},{"sku":"1210","req":1},{"sku":"1116","req":1}]</v>
      </c>
      <c r="G548" s="0" t="n">
        <f aca="false">IFERROR(__xludf.dummyfunction("""COMPUTED_VALUE"""),1)</f>
        <v>1</v>
      </c>
      <c r="H548" s="21" t="str">
        <f aca="false">IFERROR(__xludf.dummyfunction("IF(D548,filter(Productos!AC:AC,Productos!A:A=B548),)"),"cocina")</f>
        <v>cocina</v>
      </c>
      <c r="I548" s="24" t="n">
        <f aca="false">IFERROR(__xludf.dummyfunction("""COMPUTED_VALUE"""),4500)</f>
        <v>4500</v>
      </c>
      <c r="K548" s="0" t="str">
        <f aca="false">IF(D548,"{""sku"":"""&amp;B548&amp;""", ""costo"":"&amp;C548&amp;", ""grupo"":"""&amp;A548&amp;""", ""lote"":"&amp;D548&amp;", ""tiempo"":"&amp;E548&amp;", "&amp;F548&amp;", ""vencimiento"":"&amp;G548&amp;IF(I548,", ""precio"":"&amp;I548,)&amp;", ""tipo"":"""&amp;H548&amp;"""},",)</f>
        <v>{"sku":"10002", "costo":10, "grupo":"8", "lote":1, "tiempo":20, "formula":[{"sku":"1201","req":1},{"sku":"1105","req":1},{"sku":"1013","req":5},{"sku":"1210","req":1},{"sku":"1116","req":1}], "vencimiento":1, "precio":4500, "tipo":"cocina"},</v>
      </c>
    </row>
    <row r="549" customFormat="false" ht="13" hidden="false" customHeight="false" outlineLevel="0" collapsed="false">
      <c r="A549" s="17" t="n">
        <v>8</v>
      </c>
      <c r="B549" s="0" t="n">
        <f aca="false">IFERROR(__xludf.dummyfunction("""COMPUTED_VALUE"""),10003)</f>
        <v>10003</v>
      </c>
      <c r="C549" s="24" t="n">
        <f aca="false">IFERROR(__xludf.dummyfunction("""COMPUTED_VALUE"""),10)</f>
        <v>10</v>
      </c>
      <c r="D549" s="0" t="n">
        <f aca="false">IFERROR(__xludf.dummyfunction("""COMPUTED_VALUE"""),1)</f>
        <v>1</v>
      </c>
      <c r="E549" s="0" t="n">
        <f aca="false">IFERROR(__xludf.dummyfunction("""COMPUTED_VALUE"""),30)</f>
        <v>30</v>
      </c>
      <c r="F549" s="0" t="str">
        <f aca="false">IFERROR(__xludf.dummyfunction("filter(Formulas!$C:$C,Formulas!$A:$A=B549)"),"""formula"":[{""sku"":""1201"",""req"":1},{""sku"":""1105"",""req"":1},{""sku"":""1013"",""req"":5},{""sku"":""1210"",""req"":1},{""sku"":""1211"",""req"":1},{""sku"":""1116"",""req"":1}]")</f>
        <v>"formula":[{"sku":"1201","req":1},{"sku":"1105","req":1},{"sku":"1013","req":5},{"sku":"1210","req":1},{"sku":"1211","req":1},{"sku":"1116","req":1}]</v>
      </c>
      <c r="G549" s="0" t="n">
        <f aca="false">IFERROR(__xludf.dummyfunction("""COMPUTED_VALUE"""),1)</f>
        <v>1</v>
      </c>
      <c r="H549" s="21" t="str">
        <f aca="false">IFERROR(__xludf.dummyfunction("IF(D549,filter(Productos!AC:AC,Productos!A:A=B549),)"),"cocina")</f>
        <v>cocina</v>
      </c>
      <c r="I549" s="24" t="n">
        <f aca="false">IFERROR(__xludf.dummyfunction("""COMPUTED_VALUE"""),4700)</f>
        <v>4700</v>
      </c>
      <c r="K549" s="0" t="str">
        <f aca="false">IF(D549,"{""sku"":"""&amp;B549&amp;""", ""costo"":"&amp;C549&amp;", ""grupo"":"""&amp;A549&amp;""", ""lote"":"&amp;D549&amp;", ""tiempo"":"&amp;E549&amp;", "&amp;F549&amp;", ""vencimiento"":"&amp;G549&amp;IF(I549,", ""precio"":"&amp;I549,)&amp;", ""tipo"":"""&amp;H549&amp;"""},",)</f>
        <v>{"sku":"10003", "costo":10, "grupo":"8", "lote":1, "tiempo":30, "formula":[{"sku":"1201","req":1},{"sku":"1105","req":1},{"sku":"1013","req":5},{"sku":"1210","req":1},{"sku":"1211","req":1},{"sku":"1116","req":1}], "vencimiento":1, "precio":4700, "tipo":"cocina"},</v>
      </c>
    </row>
    <row r="550" customFormat="false" ht="13" hidden="false" customHeight="false" outlineLevel="0" collapsed="false">
      <c r="A550" s="16" t="n">
        <v>8</v>
      </c>
      <c r="B550" s="0" t="n">
        <f aca="false">IFERROR(__xludf.dummyfunction("""COMPUTED_VALUE"""),10004)</f>
        <v>10004</v>
      </c>
      <c r="C550" s="24" t="n">
        <f aca="false">IFERROR(__xludf.dummyfunction("""COMPUTED_VALUE"""),10)</f>
        <v>10</v>
      </c>
      <c r="D550" s="0" t="n">
        <f aca="false">IFERROR(__xludf.dummyfunction("""COMPUTED_VALUE"""),1)</f>
        <v>1</v>
      </c>
      <c r="E550" s="0" t="n">
        <f aca="false">IFERROR(__xludf.dummyfunction("""COMPUTED_VALUE"""),10)</f>
        <v>10</v>
      </c>
      <c r="F550" s="0" t="str">
        <f aca="false">IFERROR(__xludf.dummyfunction("filter(Formulas!$C:$C,Formulas!$A:$A=B550)"),"""formula"":[{""sku"":""1201"",""req"":1},{""sku"":""1106"",""req"":4},{""sku"":""1210"",""req"":1},{""sku"":""1211"",""req"":1},{""sku"":""1116"",""req"":1}]")</f>
        <v>"formula":[{"sku":"1201","req":1},{"sku":"1106","req":4},{"sku":"1210","req":1},{"sku":"1211","req":1},{"sku":"1116","req":1}]</v>
      </c>
      <c r="G550" s="0" t="n">
        <f aca="false">IFERROR(__xludf.dummyfunction("""COMPUTED_VALUE"""),1)</f>
        <v>1</v>
      </c>
      <c r="H550" s="21" t="str">
        <f aca="false">IFERROR(__xludf.dummyfunction("IF(D550,filter(Productos!AC:AC,Productos!A:A=B550),)"),"cocina")</f>
        <v>cocina</v>
      </c>
      <c r="I550" s="24" t="n">
        <f aca="false">IFERROR(__xludf.dummyfunction("""COMPUTED_VALUE"""),4700)</f>
        <v>4700</v>
      </c>
      <c r="K550" s="0" t="str">
        <f aca="false">IF(D550,"{""sku"":"""&amp;B550&amp;""", ""costo"":"&amp;C550&amp;", ""grupo"":"""&amp;A550&amp;""", ""lote"":"&amp;D550&amp;", ""tiempo"":"&amp;E550&amp;", "&amp;F550&amp;", ""vencimiento"":"&amp;G550&amp;IF(I550,", ""precio"":"&amp;I550,)&amp;", ""tipo"":"""&amp;H550&amp;"""},",)</f>
        <v>{"sku":"10004", "costo":10, "grupo":"8", "lote":1, "tiempo":10, "formula":[{"sku":"1201","req":1},{"sku":"1106","req":4},{"sku":"1210","req":1},{"sku":"1211","req":1},{"sku":"1116","req":1}], "vencimiento":1, "precio":4700, "tipo":"cocina"},</v>
      </c>
    </row>
    <row r="551" customFormat="false" ht="13" hidden="false" customHeight="false" outlineLevel="0" collapsed="false">
      <c r="A551" s="17" t="n">
        <v>8</v>
      </c>
      <c r="B551" s="0" t="n">
        <f aca="false">IFERROR(__xludf.dummyfunction("""COMPUTED_VALUE"""),10005)</f>
        <v>10005</v>
      </c>
      <c r="C551" s="24" t="n">
        <f aca="false">IFERROR(__xludf.dummyfunction("""COMPUTED_VALUE"""),10)</f>
        <v>10</v>
      </c>
      <c r="D551" s="0" t="n">
        <f aca="false">IFERROR(__xludf.dummyfunction("""COMPUTED_VALUE"""),1)</f>
        <v>1</v>
      </c>
      <c r="E551" s="0" t="n">
        <f aca="false">IFERROR(__xludf.dummyfunction("""COMPUTED_VALUE"""),20)</f>
        <v>20</v>
      </c>
      <c r="F551" s="0" t="str">
        <f aca="false">IFERROR(__xludf.dummyfunction("filter(Formulas!$C:$C,Formulas!$A:$A=B551)"),"""formula"":[{""sku"":""1201"",""req"":1},{""sku"":""1106"",""req"":4},{""sku"":""1013"",""req"":5},{""sku"":""1210"",""req"":1},{""sku"":""1116"",""req"":1}]")</f>
        <v>"formula":[{"sku":"1201","req":1},{"sku":"1106","req":4},{"sku":"1013","req":5},{"sku":"1210","req":1},{"sku":"1116","req":1}]</v>
      </c>
      <c r="G551" s="0" t="n">
        <f aca="false">IFERROR(__xludf.dummyfunction("""COMPUTED_VALUE"""),1)</f>
        <v>1</v>
      </c>
      <c r="H551" s="21" t="str">
        <f aca="false">IFERROR(__xludf.dummyfunction("IF(D551,filter(Productos!AC:AC,Productos!A:A=B551),)"),"cocina")</f>
        <v>cocina</v>
      </c>
      <c r="I551" s="24" t="n">
        <f aca="false">IFERROR(__xludf.dummyfunction("""COMPUTED_VALUE"""),4700)</f>
        <v>4700</v>
      </c>
      <c r="K551" s="0" t="str">
        <f aca="false">IF(D551,"{""sku"":"""&amp;B551&amp;""", ""costo"":"&amp;C551&amp;", ""grupo"":"""&amp;A551&amp;""", ""lote"":"&amp;D551&amp;", ""tiempo"":"&amp;E551&amp;", "&amp;F551&amp;", ""vencimiento"":"&amp;G551&amp;IF(I551,", ""precio"":"&amp;I551,)&amp;", ""tipo"":"""&amp;H551&amp;"""},",)</f>
        <v>{"sku":"10005", "costo":10, "grupo":"8", "lote":1, "tiempo":20, "formula":[{"sku":"1201","req":1},{"sku":"1106","req":4},{"sku":"1013","req":5},{"sku":"1210","req":1},{"sku":"1116","req":1}], "vencimiento":1, "precio":4700, "tipo":"cocina"},</v>
      </c>
    </row>
    <row r="552" customFormat="false" ht="13" hidden="false" customHeight="false" outlineLevel="0" collapsed="false">
      <c r="A552" s="16" t="n">
        <v>8</v>
      </c>
      <c r="B552" s="0" t="n">
        <f aca="false">IFERROR(__xludf.dummyfunction("""COMPUTED_VALUE"""),10006)</f>
        <v>10006</v>
      </c>
      <c r="C552" s="24" t="n">
        <f aca="false">IFERROR(__xludf.dummyfunction("""COMPUTED_VALUE"""),10)</f>
        <v>10</v>
      </c>
      <c r="D552" s="0" t="n">
        <f aca="false">IFERROR(__xludf.dummyfunction("""COMPUTED_VALUE"""),1)</f>
        <v>1</v>
      </c>
      <c r="E552" s="0" t="n">
        <f aca="false">IFERROR(__xludf.dummyfunction("""COMPUTED_VALUE"""),10)</f>
        <v>10</v>
      </c>
      <c r="F552" s="0" t="str">
        <f aca="false">IFERROR(__xludf.dummyfunction("filter(Formulas!$C:$C,Formulas!$A:$A=B552)"),"""formula"":[{""sku"":""1201"",""req"":1},{""sku"":""1210"",""req"":1},{""sku"":""1107"",""req"":1},{""sku"":""1211"",""req"":1},{""sku"":""1116"",""req"":1}]")</f>
        <v>"formula":[{"sku":"1201","req":1},{"sku":"1210","req":1},{"sku":"1107","req":1},{"sku":"1211","req":1},{"sku":"1116","req":1}]</v>
      </c>
      <c r="G552" s="0" t="n">
        <f aca="false">IFERROR(__xludf.dummyfunction("""COMPUTED_VALUE"""),1)</f>
        <v>1</v>
      </c>
      <c r="H552" s="21" t="str">
        <f aca="false">IFERROR(__xludf.dummyfunction("IF(D552,filter(Productos!AC:AC,Productos!A:A=B552),)"),"cocina")</f>
        <v>cocina</v>
      </c>
      <c r="I552" s="24" t="n">
        <f aca="false">IFERROR(__xludf.dummyfunction("""COMPUTED_VALUE"""),4900)</f>
        <v>4900</v>
      </c>
      <c r="K552" s="0" t="str">
        <f aca="false">IF(D552,"{""sku"":"""&amp;B552&amp;""", ""costo"":"&amp;C552&amp;", ""grupo"":"""&amp;A552&amp;""", ""lote"":"&amp;D552&amp;", ""tiempo"":"&amp;E552&amp;", "&amp;F552&amp;", ""vencimiento"":"&amp;G552&amp;IF(I552,", ""precio"":"&amp;I552,)&amp;", ""tipo"":"""&amp;H552&amp;"""},",)</f>
        <v>{"sku":"10006", "costo":10, "grupo":"8", "lote":1, "tiempo":10, "formula":[{"sku":"1201","req":1},{"sku":"1210","req":1},{"sku":"1107","req":1},{"sku":"1211","req":1},{"sku":"1116","req":1}], "vencimiento":1, "precio":4900, "tipo":"cocina"},</v>
      </c>
    </row>
    <row r="553" customFormat="false" ht="13" hidden="false" customHeight="false" outlineLevel="0" collapsed="false">
      <c r="A553" s="17" t="n">
        <v>8</v>
      </c>
      <c r="B553" s="0" t="n">
        <f aca="false">IFERROR(__xludf.dummyfunction("""COMPUTED_VALUE"""),10007)</f>
        <v>10007</v>
      </c>
      <c r="C553" s="24" t="n">
        <f aca="false">IFERROR(__xludf.dummyfunction("""COMPUTED_VALUE"""),10)</f>
        <v>10</v>
      </c>
      <c r="D553" s="0" t="n">
        <f aca="false">IFERROR(__xludf.dummyfunction("""COMPUTED_VALUE"""),1)</f>
        <v>1</v>
      </c>
      <c r="E553" s="0" t="n">
        <f aca="false">IFERROR(__xludf.dummyfunction("""COMPUTED_VALUE"""),20)</f>
        <v>20</v>
      </c>
      <c r="F553" s="0" t="str">
        <f aca="false">IFERROR(__xludf.dummyfunction("filter(Formulas!$C:$C,Formulas!$A:$A=B553)"),"""formula"":[{""sku"":""1201"",""req"":1},{""sku"":""1013"",""req"":5},{""sku"":""1210"",""req"":1},{""sku"":""1107"",""req"":1},{""sku"":""1116"",""req"":1}]")</f>
        <v>"formula":[{"sku":"1201","req":1},{"sku":"1013","req":5},{"sku":"1210","req":1},{"sku":"1107","req":1},{"sku":"1116","req":1}]</v>
      </c>
      <c r="G553" s="0" t="n">
        <f aca="false">IFERROR(__xludf.dummyfunction("""COMPUTED_VALUE"""),1)</f>
        <v>1</v>
      </c>
      <c r="H553" s="21" t="str">
        <f aca="false">IFERROR(__xludf.dummyfunction("IF(D553,filter(Productos!AC:AC,Productos!A:A=B553),)"),"cocina")</f>
        <v>cocina</v>
      </c>
      <c r="I553" s="24" t="n">
        <f aca="false">IFERROR(__xludf.dummyfunction("""COMPUTED_VALUE"""),4900)</f>
        <v>4900</v>
      </c>
      <c r="K553" s="0" t="str">
        <f aca="false">IF(D553,"{""sku"":"""&amp;B553&amp;""", ""costo"":"&amp;C553&amp;", ""grupo"":"""&amp;A553&amp;""", ""lote"":"&amp;D553&amp;", ""tiempo"":"&amp;E553&amp;", "&amp;F553&amp;", ""vencimiento"":"&amp;G553&amp;IF(I553,", ""precio"":"&amp;I553,)&amp;", ""tipo"":"""&amp;H553&amp;"""},",)</f>
        <v>{"sku":"10007", "costo":10, "grupo":"8", "lote":1, "tiempo":20, "formula":[{"sku":"1201","req":1},{"sku":"1013","req":5},{"sku":"1210","req":1},{"sku":"1107","req":1},{"sku":"1116","req":1}], "vencimiento":1, "precio":4900, "tipo":"cocina"},</v>
      </c>
    </row>
    <row r="554" customFormat="false" ht="13" hidden="false" customHeight="false" outlineLevel="0" collapsed="false">
      <c r="A554" s="16" t="n">
        <v>8</v>
      </c>
      <c r="B554" s="0" t="n">
        <f aca="false">IFERROR(__xludf.dummyfunction("""COMPUTED_VALUE"""),10008)</f>
        <v>10008</v>
      </c>
      <c r="C554" s="24" t="n">
        <f aca="false">IFERROR(__xludf.dummyfunction("""COMPUTED_VALUE"""),10)</f>
        <v>10</v>
      </c>
      <c r="D554" s="0" t="n">
        <f aca="false">IFERROR(__xludf.dummyfunction("""COMPUTED_VALUE"""),1)</f>
        <v>1</v>
      </c>
      <c r="E554" s="0" t="n">
        <f aca="false">IFERROR(__xludf.dummyfunction("""COMPUTED_VALUE"""),20)</f>
        <v>20</v>
      </c>
      <c r="F554" s="0" t="str">
        <f aca="false">IFERROR(__xludf.dummyfunction("filter(Formulas!$C:$C,Formulas!$A:$A=B554)"),"""formula"":[{""sku"":""1201"",""req"":1},{""sku"":""1109"",""req"":1},{""sku"":""1210"",""req"":1},{""sku"":""1211"",""req"":1},{""sku"":""1116"",""req"":1}]")</f>
        <v>"formula":[{"sku":"1201","req":1},{"sku":"1109","req":1},{"sku":"1210","req":1},{"sku":"1211","req":1},{"sku":"1116","req":1}]</v>
      </c>
      <c r="G554" s="0" t="n">
        <f aca="false">IFERROR(__xludf.dummyfunction("""COMPUTED_VALUE"""),1)</f>
        <v>1</v>
      </c>
      <c r="H554" s="21" t="str">
        <f aca="false">IFERROR(__xludf.dummyfunction("IF(D554,filter(Productos!AC:AC,Productos!A:A=B554),)"),"cocina")</f>
        <v>cocina</v>
      </c>
      <c r="I554" s="24" t="n">
        <f aca="false">IFERROR(__xludf.dummyfunction("""COMPUTED_VALUE"""),4900)</f>
        <v>4900</v>
      </c>
      <c r="K554" s="0" t="str">
        <f aca="false">IF(D554,"{""sku"":"""&amp;B554&amp;""", ""costo"":"&amp;C554&amp;", ""grupo"":"""&amp;A554&amp;""", ""lote"":"&amp;D554&amp;", ""tiempo"":"&amp;E554&amp;", "&amp;F554&amp;", ""vencimiento"":"&amp;G554&amp;IF(I554,", ""precio"":"&amp;I554,)&amp;", ""tipo"":"""&amp;H554&amp;"""},",)</f>
        <v>{"sku":"10008", "costo":10, "grupo":"8", "lote":1, "tiempo":20, "formula":[{"sku":"1201","req":1},{"sku":"1109","req":1},{"sku":"1210","req":1},{"sku":"1211","req":1},{"sku":"1116","req":1}], "vencimiento":1, "precio":4900, "tipo":"cocina"},</v>
      </c>
    </row>
    <row r="555" customFormat="false" ht="13" hidden="false" customHeight="false" outlineLevel="0" collapsed="false">
      <c r="A555" s="17" t="n">
        <v>8</v>
      </c>
      <c r="B555" s="0" t="n">
        <f aca="false">IFERROR(__xludf.dummyfunction("""COMPUTED_VALUE"""),10009)</f>
        <v>10009</v>
      </c>
      <c r="C555" s="24" t="n">
        <f aca="false">IFERROR(__xludf.dummyfunction("""COMPUTED_VALUE"""),10)</f>
        <v>10</v>
      </c>
      <c r="D555" s="0" t="n">
        <f aca="false">IFERROR(__xludf.dummyfunction("""COMPUTED_VALUE"""),1)</f>
        <v>1</v>
      </c>
      <c r="E555" s="0" t="n">
        <f aca="false">IFERROR(__xludf.dummyfunction("""COMPUTED_VALUE"""),30)</f>
        <v>30</v>
      </c>
      <c r="F555" s="0" t="str">
        <f aca="false">IFERROR(__xludf.dummyfunction("filter(Formulas!$C:$C,Formulas!$A:$A=B555)"),"""formula"":[{""sku"":""1201"",""req"":1},{""sku"":""1109"",""req"":1},{""sku"":""1013"",""req"":5},{""sku"":""1210"",""req"":1},{""sku"":""1116"",""req"":1}]")</f>
        <v>"formula":[{"sku":"1201","req":1},{"sku":"1109","req":1},{"sku":"1013","req":5},{"sku":"1210","req":1},{"sku":"1116","req":1}]</v>
      </c>
      <c r="G555" s="0" t="n">
        <f aca="false">IFERROR(__xludf.dummyfunction("""COMPUTED_VALUE"""),1)</f>
        <v>1</v>
      </c>
      <c r="H555" s="21" t="str">
        <f aca="false">IFERROR(__xludf.dummyfunction("IF(D555,filter(Productos!AC:AC,Productos!A:A=B555),)"),"cocina")</f>
        <v>cocina</v>
      </c>
      <c r="I555" s="24" t="n">
        <f aca="false">IFERROR(__xludf.dummyfunction("""COMPUTED_VALUE"""),4900)</f>
        <v>4900</v>
      </c>
      <c r="K555" s="0" t="str">
        <f aca="false">IF(D555,"{""sku"":"""&amp;B555&amp;""", ""costo"":"&amp;C555&amp;", ""grupo"":"""&amp;A555&amp;""", ""lote"":"&amp;D555&amp;", ""tiempo"":"&amp;E555&amp;", "&amp;F555&amp;", ""vencimiento"":"&amp;G555&amp;IF(I555,", ""precio"":"&amp;I555,)&amp;", ""tipo"":"""&amp;H555&amp;"""},",)</f>
        <v>{"sku":"10009", "costo":10, "grupo":"8", "lote":1, "tiempo":30, "formula":[{"sku":"1201","req":1},{"sku":"1109","req":1},{"sku":"1013","req":5},{"sku":"1210","req":1},{"sku":"1116","req":1}], "vencimiento":1, "precio":4900, "tipo":"cocina"},</v>
      </c>
    </row>
    <row r="556" customFormat="false" ht="13" hidden="false" customHeight="false" outlineLevel="0" collapsed="false">
      <c r="A556" s="16" t="n">
        <v>8</v>
      </c>
      <c r="B556" s="0" t="n">
        <f aca="false">IFERROR(__xludf.dummyfunction("""COMPUTED_VALUE"""),10010)</f>
        <v>10010</v>
      </c>
      <c r="C556" s="24" t="n">
        <f aca="false">IFERROR(__xludf.dummyfunction("""COMPUTED_VALUE"""),10)</f>
        <v>10</v>
      </c>
      <c r="D556" s="0" t="n">
        <f aca="false">IFERROR(__xludf.dummyfunction("""COMPUTED_VALUE"""),1)</f>
        <v>1</v>
      </c>
      <c r="E556" s="0" t="n">
        <f aca="false">IFERROR(__xludf.dummyfunction("""COMPUTED_VALUE"""),10)</f>
        <v>10</v>
      </c>
      <c r="F556" s="0" t="str">
        <f aca="false">IFERROR(__xludf.dummyfunction("filter(Formulas!$C:$C,Formulas!$A:$A=B556)"),"""formula"":[{""sku"":""1201"",""req"":1},{""sku"":""1106"",""req"":4},{""sku"":""1210"",""req"":1},{""sku"":""1110"",""req"":1},{""sku"":""1116"",""req"":1}]")</f>
        <v>"formula":[{"sku":"1201","req":1},{"sku":"1106","req":4},{"sku":"1210","req":1},{"sku":"1110","req":1},{"sku":"1116","req":1}]</v>
      </c>
      <c r="G556" s="0" t="n">
        <f aca="false">IFERROR(__xludf.dummyfunction("""COMPUTED_VALUE"""),1)</f>
        <v>1</v>
      </c>
      <c r="H556" s="21" t="str">
        <f aca="false">IFERROR(__xludf.dummyfunction("IF(D556,filter(Productos!AC:AC,Productos!A:A=B556),)"),"cocina")</f>
        <v>cocina</v>
      </c>
      <c r="I556" s="24" t="n">
        <f aca="false">IFERROR(__xludf.dummyfunction("""COMPUTED_VALUE"""),4900)</f>
        <v>4900</v>
      </c>
      <c r="K556" s="0" t="str">
        <f aca="false">IF(D556,"{""sku"":"""&amp;B556&amp;""", ""costo"":"&amp;C556&amp;", ""grupo"":"""&amp;A556&amp;""", ""lote"":"&amp;D556&amp;", ""tiempo"":"&amp;E556&amp;", "&amp;F556&amp;", ""vencimiento"":"&amp;G556&amp;IF(I556,", ""precio"":"&amp;I556,)&amp;", ""tipo"":"""&amp;H556&amp;"""},",)</f>
        <v>{"sku":"10010", "costo":10, "grupo":"8", "lote":1, "tiempo":10, "formula":[{"sku":"1201","req":1},{"sku":"1106","req":4},{"sku":"1210","req":1},{"sku":"1110","req":1},{"sku":"1116","req":1}], "vencimiento":1, "precio":4900, "tipo":"cocina"},</v>
      </c>
    </row>
    <row r="557" customFormat="false" ht="13" hidden="false" customHeight="false" outlineLevel="0" collapsed="false">
      <c r="A557" s="17" t="n">
        <v>8</v>
      </c>
      <c r="B557" s="0" t="n">
        <f aca="false">IFERROR(__xludf.dummyfunction("""COMPUTED_VALUE"""),10011)</f>
        <v>10011</v>
      </c>
      <c r="C557" s="24" t="n">
        <f aca="false">IFERROR(__xludf.dummyfunction("""COMPUTED_VALUE"""),10)</f>
        <v>10</v>
      </c>
      <c r="D557" s="0" t="n">
        <f aca="false">IFERROR(__xludf.dummyfunction("""COMPUTED_VALUE"""),1)</f>
        <v>1</v>
      </c>
      <c r="E557" s="0" t="n">
        <f aca="false">IFERROR(__xludf.dummyfunction("""COMPUTED_VALUE"""),20)</f>
        <v>20</v>
      </c>
      <c r="F557" s="0" t="str">
        <f aca="false">IFERROR(__xludf.dummyfunction("filter(Formulas!$C:$C,Formulas!$A:$A=B557)"),"""formula"":[{""sku"":""1201"",""req"":1},{""sku"":""1106"",""req"":4},{""sku"":""1114"",""req"":1},{""sku"":""1110"",""req"":1},{""sku"":""1112"",""req"":1},{""sku"":""1116"",""req"":1}]")</f>
        <v>"formula":[{"sku":"1201","req":1},{"sku":"1106","req":4},{"sku":"1114","req":1},{"sku":"1110","req":1},{"sku":"1112","req":1},{"sku":"1116","req":1}]</v>
      </c>
      <c r="G557" s="0" t="n">
        <f aca="false">IFERROR(__xludf.dummyfunction("""COMPUTED_VALUE"""),1)</f>
        <v>1</v>
      </c>
      <c r="H557" s="21" t="str">
        <f aca="false">IFERROR(__xludf.dummyfunction("IF(D557,filter(Productos!AC:AC,Productos!A:A=B557),)"),"cocina")</f>
        <v>cocina</v>
      </c>
      <c r="I557" s="24" t="n">
        <f aca="false">IFERROR(__xludf.dummyfunction("""COMPUTED_VALUE"""),5700)</f>
        <v>5700</v>
      </c>
      <c r="K557" s="0" t="str">
        <f aca="false">IF(D557,"{""sku"":"""&amp;B557&amp;""", ""costo"":"&amp;C557&amp;", ""grupo"":"""&amp;A557&amp;""", ""lote"":"&amp;D557&amp;", ""tiempo"":"&amp;E557&amp;", "&amp;F557&amp;", ""vencimiento"":"&amp;G557&amp;IF(I557,", ""precio"":"&amp;I557,)&amp;", ""tipo"":"""&amp;H557&amp;"""},",)</f>
        <v>{"sku":"10011", "costo":10, "grupo":"8", "lote":1, "tiempo":20, "formula":[{"sku":"1201","req":1},{"sku":"1106","req":4},{"sku":"1114","req":1},{"sku":"1110","req":1},{"sku":"1112","req":1},{"sku":"1116","req":1}], "vencimiento":1, "precio":5700, "tipo":"cocina"},</v>
      </c>
    </row>
    <row r="558" customFormat="false" ht="13" hidden="false" customHeight="false" outlineLevel="0" collapsed="false">
      <c r="A558" s="16" t="n">
        <v>8</v>
      </c>
      <c r="B558" s="0" t="n">
        <f aca="false">IFERROR(__xludf.dummyfunction("""COMPUTED_VALUE"""),10012)</f>
        <v>10012</v>
      </c>
      <c r="C558" s="24" t="n">
        <f aca="false">IFERROR(__xludf.dummyfunction("""COMPUTED_VALUE"""),10)</f>
        <v>10</v>
      </c>
      <c r="D558" s="0" t="n">
        <f aca="false">IFERROR(__xludf.dummyfunction("""COMPUTED_VALUE"""),1)</f>
        <v>1</v>
      </c>
      <c r="E558" s="0" t="n">
        <f aca="false">IFERROR(__xludf.dummyfunction("""COMPUTED_VALUE"""),20)</f>
        <v>20</v>
      </c>
      <c r="F558" s="0" t="str">
        <f aca="false">IFERROR(__xludf.dummyfunction("filter(Formulas!$C:$C,Formulas!$A:$A=B558)"),"""formula"":[{""sku"":""1201"",""req"":1},{""sku"":""1106"",""req"":4},{""sku"":""1110"",""req"":1},{""sku"":""1112"",""req"":1},{""sku"":""1108"",""req"":1},{""sku"":""1116"",""req"":1}]")</f>
        <v>"formula":[{"sku":"1201","req":1},{"sku":"1106","req":4},{"sku":"1110","req":1},{"sku":"1112","req":1},{"sku":"1108","req":1},{"sku":"1116","req":1}]</v>
      </c>
      <c r="G558" s="0" t="n">
        <f aca="false">IFERROR(__xludf.dummyfunction("""COMPUTED_VALUE"""),1)</f>
        <v>1</v>
      </c>
      <c r="H558" s="21" t="str">
        <f aca="false">IFERROR(__xludf.dummyfunction("IF(D558,filter(Productos!AC:AC,Productos!A:A=B558),)"),"cocina")</f>
        <v>cocina</v>
      </c>
      <c r="I558" s="24" t="n">
        <f aca="false">IFERROR(__xludf.dummyfunction("""COMPUTED_VALUE"""),5700)</f>
        <v>5700</v>
      </c>
      <c r="K558" s="0" t="str">
        <f aca="false">IF(D558,"{""sku"":"""&amp;B558&amp;""", ""costo"":"&amp;C558&amp;", ""grupo"":"""&amp;A558&amp;""", ""lote"":"&amp;D558&amp;", ""tiempo"":"&amp;E558&amp;", "&amp;F558&amp;", ""vencimiento"":"&amp;G558&amp;IF(I558,", ""precio"":"&amp;I558,)&amp;", ""tipo"":"""&amp;H558&amp;"""},",)</f>
        <v>{"sku":"10012", "costo":10, "grupo":"8", "lote":1, "tiempo":20, "formula":[{"sku":"1201","req":1},{"sku":"1106","req":4},{"sku":"1110","req":1},{"sku":"1112","req":1},{"sku":"1108","req":1},{"sku":"1116","req":1}], "vencimiento":1, "precio":5700, "tipo":"cocina"},</v>
      </c>
    </row>
    <row r="559" customFormat="false" ht="13" hidden="false" customHeight="false" outlineLevel="0" collapsed="false">
      <c r="A559" s="17" t="n">
        <v>8</v>
      </c>
      <c r="B559" s="0" t="n">
        <f aca="false">IFERROR(__xludf.dummyfunction("""COMPUTED_VALUE"""),10013)</f>
        <v>10013</v>
      </c>
      <c r="C559" s="24" t="n">
        <f aca="false">IFERROR(__xludf.dummyfunction("""COMPUTED_VALUE"""),10)</f>
        <v>10</v>
      </c>
      <c r="D559" s="0" t="n">
        <f aca="false">IFERROR(__xludf.dummyfunction("""COMPUTED_VALUE"""),1)</f>
        <v>1</v>
      </c>
      <c r="E559" s="0" t="n">
        <f aca="false">IFERROR(__xludf.dummyfunction("""COMPUTED_VALUE"""),10)</f>
        <v>10</v>
      </c>
      <c r="F559" s="0" t="str">
        <f aca="false">IFERROR(__xludf.dummyfunction("filter(Formulas!$C:$C,Formulas!$A:$A=B559)"),"""formula"":[{""sku"":""1201"",""req"":1},{""sku"":""1106"",""req"":4},{""sku"":""1110"",""req"":1},{""sku"":""1112"",""req"":1},{""sku"":""1116"",""req"":1}]")</f>
        <v>"formula":[{"sku":"1201","req":1},{"sku":"1106","req":4},{"sku":"1110","req":1},{"sku":"1112","req":1},{"sku":"1116","req":1}]</v>
      </c>
      <c r="G559" s="0" t="n">
        <f aca="false">IFERROR(__xludf.dummyfunction("""COMPUTED_VALUE"""),1)</f>
        <v>1</v>
      </c>
      <c r="H559" s="21" t="str">
        <f aca="false">IFERROR(__xludf.dummyfunction("IF(D559,filter(Productos!AC:AC,Productos!A:A=B559),)"),"cocina")</f>
        <v>cocina</v>
      </c>
      <c r="I559" s="24" t="n">
        <f aca="false">IFERROR(__xludf.dummyfunction("""COMPUTED_VALUE"""),5700)</f>
        <v>5700</v>
      </c>
      <c r="K559" s="0" t="str">
        <f aca="false">IF(D559,"{""sku"":"""&amp;B559&amp;""", ""costo"":"&amp;C559&amp;", ""grupo"":"""&amp;A559&amp;""", ""lote"":"&amp;D559&amp;", ""tiempo"":"&amp;E559&amp;", "&amp;F559&amp;", ""vencimiento"":"&amp;G559&amp;IF(I559,", ""precio"":"&amp;I559,)&amp;", ""tipo"":"""&amp;H559&amp;"""},",)</f>
        <v>{"sku":"10013", "costo":10, "grupo":"8", "lote":1, "tiempo":10, "formula":[{"sku":"1201","req":1},{"sku":"1106","req":4},{"sku":"1110","req":1},{"sku":"1112","req":1},{"sku":"1116","req":1}], "vencimiento":1, "precio":5700, "tipo":"cocina"},</v>
      </c>
    </row>
    <row r="560" customFormat="false" ht="13" hidden="false" customHeight="false" outlineLevel="0" collapsed="false">
      <c r="A560" s="16" t="n">
        <v>8</v>
      </c>
      <c r="B560" s="0" t="n">
        <f aca="false">IFERROR(__xludf.dummyfunction("""COMPUTED_VALUE"""),10014)</f>
        <v>10014</v>
      </c>
      <c r="C560" s="24" t="n">
        <f aca="false">IFERROR(__xludf.dummyfunction("""COMPUTED_VALUE"""),10)</f>
        <v>10</v>
      </c>
      <c r="D560" s="0" t="n">
        <f aca="false">IFERROR(__xludf.dummyfunction("""COMPUTED_VALUE"""),1)</f>
        <v>1</v>
      </c>
      <c r="E560" s="0" t="n">
        <f aca="false">IFERROR(__xludf.dummyfunction("""COMPUTED_VALUE"""),10)</f>
        <v>10</v>
      </c>
      <c r="F560" s="0" t="str">
        <f aca="false">IFERROR(__xludf.dummyfunction("filter(Formulas!$C:$C,Formulas!$A:$A=B560)"),"""formula"":[{""sku"":""1201"",""req"":1},{""sku"":""1105"",""req"":1},{""sku"":""1110"",""req"":1},{""sku"":""1112"",""req"":1},{""sku"":""1116"",""req"":1}]")</f>
        <v>"formula":[{"sku":"1201","req":1},{"sku":"1105","req":1},{"sku":"1110","req":1},{"sku":"1112","req":1},{"sku":"1116","req":1}]</v>
      </c>
      <c r="G560" s="0" t="n">
        <f aca="false">IFERROR(__xludf.dummyfunction("""COMPUTED_VALUE"""),1)</f>
        <v>1</v>
      </c>
      <c r="H560" s="21" t="str">
        <f aca="false">IFERROR(__xludf.dummyfunction("IF(D560,filter(Productos!AC:AC,Productos!A:A=B560),)"),"cocina")</f>
        <v>cocina</v>
      </c>
      <c r="I560" s="24" t="n">
        <f aca="false">IFERROR(__xludf.dummyfunction("""COMPUTED_VALUE"""),4900)</f>
        <v>4900</v>
      </c>
      <c r="K560" s="0" t="str">
        <f aca="false">IF(D560,"{""sku"":"""&amp;B560&amp;""", ""costo"":"&amp;C560&amp;", ""grupo"":"""&amp;A560&amp;""", ""lote"":"&amp;D560&amp;", ""tiempo"":"&amp;E560&amp;", "&amp;F560&amp;", ""vencimiento"":"&amp;G560&amp;IF(I560,", ""precio"":"&amp;I560,)&amp;", ""tipo"":"""&amp;H560&amp;"""},",)</f>
        <v>{"sku":"10014", "costo":10, "grupo":"8", "lote":1, "tiempo":10, "formula":[{"sku":"1201","req":1},{"sku":"1105","req":1},{"sku":"1110","req":1},{"sku":"1112","req":1},{"sku":"1116","req":1}], "vencimiento":1, "precio":4900, "tipo":"cocina"},</v>
      </c>
    </row>
    <row r="561" customFormat="false" ht="13" hidden="false" customHeight="false" outlineLevel="0" collapsed="false">
      <c r="A561" s="17" t="n">
        <v>8</v>
      </c>
      <c r="B561" s="0" t="n">
        <f aca="false">IFERROR(__xludf.dummyfunction("""COMPUTED_VALUE"""),10015)</f>
        <v>10015</v>
      </c>
      <c r="C561" s="24" t="n">
        <f aca="false">IFERROR(__xludf.dummyfunction("""COMPUTED_VALUE"""),10)</f>
        <v>10</v>
      </c>
      <c r="D561" s="0" t="n">
        <f aca="false">IFERROR(__xludf.dummyfunction("""COMPUTED_VALUE"""),1)</f>
        <v>1</v>
      </c>
      <c r="E561" s="0" t="n">
        <f aca="false">IFERROR(__xludf.dummyfunction("""COMPUTED_VALUE"""),20)</f>
        <v>20</v>
      </c>
      <c r="F561" s="0" t="str">
        <f aca="false">IFERROR(__xludf.dummyfunction("filter(Formulas!$C:$C,Formulas!$A:$A=B561)"),"""formula"":[{""sku"":""1201"",""req"":1},{""sku"":""1109"",""req"":1},{""sku"":""1115"",""req"":1},{""sku"":""1110"",""req"":1},{""sku"":""1112"",""req"":1},{""sku"":""1116"",""req"":1}]")</f>
        <v>"formula":[{"sku":"1201","req":1},{"sku":"1109","req":1},{"sku":"1115","req":1},{"sku":"1110","req":1},{"sku":"1112","req":1},{"sku":"1116","req":1}]</v>
      </c>
      <c r="G561" s="0" t="n">
        <f aca="false">IFERROR(__xludf.dummyfunction("""COMPUTED_VALUE"""),1)</f>
        <v>1</v>
      </c>
      <c r="H561" s="21" t="str">
        <f aca="false">IFERROR(__xludf.dummyfunction("IF(D561,filter(Productos!AC:AC,Productos!A:A=B561),)"),"cocina")</f>
        <v>cocina</v>
      </c>
      <c r="I561" s="24" t="n">
        <f aca="false">IFERROR(__xludf.dummyfunction("""COMPUTED_VALUE"""),5700)</f>
        <v>5700</v>
      </c>
      <c r="K561" s="0" t="str">
        <f aca="false">IF(D561,"{""sku"":"""&amp;B561&amp;""", ""costo"":"&amp;C561&amp;", ""grupo"":"""&amp;A561&amp;""", ""lote"":"&amp;D561&amp;", ""tiempo"":"&amp;E561&amp;", "&amp;F561&amp;", ""vencimiento"":"&amp;G561&amp;IF(I561,", ""precio"":"&amp;I561,)&amp;", ""tipo"":"""&amp;H561&amp;"""},",)</f>
        <v>{"sku":"10015", "costo":10, "grupo":"8", "lote":1, "tiempo":20, "formula":[{"sku":"1201","req":1},{"sku":"1109","req":1},{"sku":"1115","req":1},{"sku":"1110","req":1},{"sku":"1112","req":1},{"sku":"1116","req":1}], "vencimiento":1, "precio":5700, "tipo":"cocina"},</v>
      </c>
    </row>
    <row r="562" customFormat="false" ht="13" hidden="false" customHeight="false" outlineLevel="0" collapsed="false">
      <c r="A562" s="16" t="n">
        <v>8</v>
      </c>
      <c r="B562" s="0" t="n">
        <f aca="false">IFERROR(__xludf.dummyfunction("""COMPUTED_VALUE"""),10016)</f>
        <v>10016</v>
      </c>
      <c r="C562" s="24" t="n">
        <f aca="false">IFERROR(__xludf.dummyfunction("""COMPUTED_VALUE"""),10)</f>
        <v>10</v>
      </c>
      <c r="D562" s="0" t="n">
        <f aca="false">IFERROR(__xludf.dummyfunction("""COMPUTED_VALUE"""),1)</f>
        <v>1</v>
      </c>
      <c r="E562" s="0" t="n">
        <f aca="false">IFERROR(__xludf.dummyfunction("""COMPUTED_VALUE"""),20)</f>
        <v>20</v>
      </c>
      <c r="F562" s="0" t="str">
        <f aca="false">IFERROR(__xludf.dummyfunction("filter(Formulas!$C:$C,Formulas!$A:$A=B562)"),"""formula"":[{""sku"":""1201"",""req"":1},{""sku"":""1106"",""req"":4},{""sku"":""1110"",""req"":1},{""sku"":""1112"",""req"":1},{""sku"":""1107"",""req"":1},{""sku"":""1116"",""req"":1}]")</f>
        <v>"formula":[{"sku":"1201","req":1},{"sku":"1106","req":4},{"sku":"1110","req":1},{"sku":"1112","req":1},{"sku":"1107","req":1},{"sku":"1116","req":1}]</v>
      </c>
      <c r="G562" s="0" t="n">
        <f aca="false">IFERROR(__xludf.dummyfunction("""COMPUTED_VALUE"""),1)</f>
        <v>1</v>
      </c>
      <c r="H562" s="21" t="str">
        <f aca="false">IFERROR(__xludf.dummyfunction("IF(D562,filter(Productos!AC:AC,Productos!A:A=B562),)"),"cocina")</f>
        <v>cocina</v>
      </c>
      <c r="I562" s="24" t="n">
        <f aca="false">IFERROR(__xludf.dummyfunction("""COMPUTED_VALUE"""),5700)</f>
        <v>5700</v>
      </c>
      <c r="K562" s="0" t="str">
        <f aca="false">IF(D562,"{""sku"":"""&amp;B562&amp;""", ""costo"":"&amp;C562&amp;", ""grupo"":"""&amp;A562&amp;""", ""lote"":"&amp;D562&amp;", ""tiempo"":"&amp;E562&amp;", "&amp;F562&amp;", ""vencimiento"":"&amp;G562&amp;IF(I562,", ""precio"":"&amp;I562,)&amp;", ""tipo"":"""&amp;H562&amp;"""},",)</f>
        <v>{"sku":"10016", "costo":10, "grupo":"8", "lote":1, "tiempo":20, "formula":[{"sku":"1201","req":1},{"sku":"1106","req":4},{"sku":"1110","req":1},{"sku":"1112","req":1},{"sku":"1107","req":1},{"sku":"1116","req":1}], "vencimiento":1, "precio":5700, "tipo":"cocina"},</v>
      </c>
    </row>
    <row r="563" customFormat="false" ht="13" hidden="false" customHeight="false" outlineLevel="0" collapsed="false">
      <c r="A563" s="17" t="n">
        <v>8</v>
      </c>
      <c r="B563" s="0" t="n">
        <f aca="false">IFERROR(__xludf.dummyfunction("""COMPUTED_VALUE"""),10017)</f>
        <v>10017</v>
      </c>
      <c r="C563" s="24" t="n">
        <f aca="false">IFERROR(__xludf.dummyfunction("""COMPUTED_VALUE"""),10)</f>
        <v>10</v>
      </c>
      <c r="D563" s="0" t="n">
        <f aca="false">IFERROR(__xludf.dummyfunction("""COMPUTED_VALUE"""),1)</f>
        <v>1</v>
      </c>
      <c r="E563" s="0" t="n">
        <f aca="false">IFERROR(__xludf.dummyfunction("""COMPUTED_VALUE"""),10)</f>
        <v>10</v>
      </c>
      <c r="F563" s="0" t="str">
        <f aca="false">IFERROR(__xludf.dummyfunction("filter(Formulas!$C:$C,Formulas!$A:$A=B563)"),"""formula"":[{""sku"":""1201"",""req"":1},{""sku"":""1110"",""req"":1},{""sku"":""1112"",""req"":1},{""sku"":""1107"",""req"":1},{""sku"":""1116"",""req"":1}]")</f>
        <v>"formula":[{"sku":"1201","req":1},{"sku":"1110","req":1},{"sku":"1112","req":1},{"sku":"1107","req":1},{"sku":"1116","req":1}]</v>
      </c>
      <c r="G563" s="0" t="n">
        <f aca="false">IFERROR(__xludf.dummyfunction("""COMPUTED_VALUE"""),1)</f>
        <v>1</v>
      </c>
      <c r="H563" s="21" t="str">
        <f aca="false">IFERROR(__xludf.dummyfunction("IF(D563,filter(Productos!AC:AC,Productos!A:A=B563),)"),"cocina")</f>
        <v>cocina</v>
      </c>
      <c r="I563" s="24" t="n">
        <f aca="false">IFERROR(__xludf.dummyfunction("""COMPUTED_VALUE"""),5700)</f>
        <v>5700</v>
      </c>
      <c r="K563" s="0" t="str">
        <f aca="false">IF(D563,"{""sku"":"""&amp;B563&amp;""", ""costo"":"&amp;C563&amp;", ""grupo"":"""&amp;A563&amp;""", ""lote"":"&amp;D563&amp;", ""tiempo"":"&amp;E563&amp;", "&amp;F563&amp;", ""vencimiento"":"&amp;G563&amp;IF(I563,", ""precio"":"&amp;I563,)&amp;", ""tipo"":"""&amp;H563&amp;"""},",)</f>
        <v>{"sku":"10017", "costo":10, "grupo":"8", "lote":1, "tiempo":10, "formula":[{"sku":"1201","req":1},{"sku":"1110","req":1},{"sku":"1112","req":1},{"sku":"1107","req":1},{"sku":"1116","req":1}], "vencimiento":1, "precio":5700, "tipo":"cocina"},</v>
      </c>
    </row>
    <row r="564" customFormat="false" ht="13" hidden="false" customHeight="false" outlineLevel="0" collapsed="false">
      <c r="A564" s="16" t="n">
        <v>8</v>
      </c>
      <c r="B564" s="0" t="n">
        <f aca="false">IFERROR(__xludf.dummyfunction("""COMPUTED_VALUE"""),10018)</f>
        <v>10018</v>
      </c>
      <c r="C564" s="24" t="n">
        <f aca="false">IFERROR(__xludf.dummyfunction("""COMPUTED_VALUE"""),10)</f>
        <v>10</v>
      </c>
      <c r="D564" s="0" t="n">
        <f aca="false">IFERROR(__xludf.dummyfunction("""COMPUTED_VALUE"""),1)</f>
        <v>1</v>
      </c>
      <c r="E564" s="0" t="n">
        <f aca="false">IFERROR(__xludf.dummyfunction("""COMPUTED_VALUE"""),10)</f>
        <v>10</v>
      </c>
      <c r="F564" s="0" t="str">
        <f aca="false">IFERROR(__xludf.dummyfunction("filter(Formulas!$C:$C,Formulas!$A:$A=B564)"),"""formula"":[{""sku"":""1201"",""req"":1},{""sku"":""1105"",""req"":1},{""sku"":""1112"",""req"":1},{""sku"":""1407"",""req"":1},{""sku"":""1116"",""req"":1}]")</f>
        <v>"formula":[{"sku":"1201","req":1},{"sku":"1105","req":1},{"sku":"1112","req":1},{"sku":"1407","req":1},{"sku":"1116","req":1}]</v>
      </c>
      <c r="G564" s="0" t="n">
        <f aca="false">IFERROR(__xludf.dummyfunction("""COMPUTED_VALUE"""),1)</f>
        <v>1</v>
      </c>
      <c r="H564" s="21" t="str">
        <f aca="false">IFERROR(__xludf.dummyfunction("IF(D564,filter(Productos!AC:AC,Productos!A:A=B564),)"),"cocina")</f>
        <v>cocina</v>
      </c>
      <c r="I564" s="24" t="n">
        <f aca="false">IFERROR(__xludf.dummyfunction("""COMPUTED_VALUE"""),5700)</f>
        <v>5700</v>
      </c>
      <c r="K564" s="0" t="str">
        <f aca="false">IF(D564,"{""sku"":"""&amp;B564&amp;""", ""costo"":"&amp;C564&amp;", ""grupo"":"""&amp;A564&amp;""", ""lote"":"&amp;D564&amp;", ""tiempo"":"&amp;E564&amp;", "&amp;F564&amp;", ""vencimiento"":"&amp;G564&amp;IF(I564,", ""precio"":"&amp;I564,)&amp;", ""tipo"":"""&amp;H564&amp;"""},",)</f>
        <v>{"sku":"10018", "costo":10, "grupo":"8", "lote":1, "tiempo":10, "formula":[{"sku":"1201","req":1},{"sku":"1105","req":1},{"sku":"1112","req":1},{"sku":"1407","req":1},{"sku":"1116","req":1}], "vencimiento":1, "precio":5700, "tipo":"cocina"},</v>
      </c>
    </row>
    <row r="565" customFormat="false" ht="13" hidden="false" customHeight="false" outlineLevel="0" collapsed="false">
      <c r="A565" s="17" t="n">
        <v>8</v>
      </c>
      <c r="B565" s="0" t="n">
        <f aca="false">IFERROR(__xludf.dummyfunction("""COMPUTED_VALUE"""),10019)</f>
        <v>10019</v>
      </c>
      <c r="C565" s="24" t="n">
        <f aca="false">IFERROR(__xludf.dummyfunction("""COMPUTED_VALUE"""),10)</f>
        <v>10</v>
      </c>
      <c r="D565" s="0" t="n">
        <f aca="false">IFERROR(__xludf.dummyfunction("""COMPUTED_VALUE"""),1)</f>
        <v>1</v>
      </c>
      <c r="E565" s="0" t="n">
        <f aca="false">IFERROR(__xludf.dummyfunction("""COMPUTED_VALUE"""),10)</f>
        <v>10</v>
      </c>
      <c r="F565" s="0" t="str">
        <f aca="false">IFERROR(__xludf.dummyfunction("filter(Formulas!$C:$C,Formulas!$A:$A=B565)"),"""formula"":[{""sku"":""1201"",""req"":1},{""sku"":""1106"",""req"":4},{""sku"":""1210"",""req"":1},{""sku"":""1116"",""req"":1},{""sku"":""1407"",""req"":1}]")</f>
        <v>"formula":[{"sku":"1201","req":1},{"sku":"1106","req":4},{"sku":"1210","req":1},{"sku":"1116","req":1},{"sku":"1407","req":1}]</v>
      </c>
      <c r="G565" s="0" t="n">
        <f aca="false">IFERROR(__xludf.dummyfunction("""COMPUTED_VALUE"""),1)</f>
        <v>1</v>
      </c>
      <c r="H565" s="21" t="str">
        <f aca="false">IFERROR(__xludf.dummyfunction("IF(D565,filter(Productos!AC:AC,Productos!A:A=B565),)"),"cocina")</f>
        <v>cocina</v>
      </c>
      <c r="I565" s="24" t="n">
        <f aca="false">IFERROR(__xludf.dummyfunction("""COMPUTED_VALUE"""),5700)</f>
        <v>5700</v>
      </c>
      <c r="K565" s="0" t="str">
        <f aca="false">IF(D565,"{""sku"":"""&amp;B565&amp;""", ""costo"":"&amp;C565&amp;", ""grupo"":"""&amp;A565&amp;""", ""lote"":"&amp;D565&amp;", ""tiempo"":"&amp;E565&amp;", "&amp;F565&amp;", ""vencimiento"":"&amp;G565&amp;IF(I565,", ""precio"":"&amp;I565,)&amp;", ""tipo"":"""&amp;H565&amp;"""},",)</f>
        <v>{"sku":"10019", "costo":10, "grupo":"8", "lote":1, "tiempo":10, "formula":[{"sku":"1201","req":1},{"sku":"1106","req":4},{"sku":"1210","req":1},{"sku":"1116","req":1},{"sku":"1407","req":1}], "vencimiento":1, "precio":5700, "tipo":"cocina"},</v>
      </c>
    </row>
    <row r="566" customFormat="false" ht="13" hidden="false" customHeight="false" outlineLevel="0" collapsed="false">
      <c r="A566" s="16" t="n">
        <v>8</v>
      </c>
      <c r="B566" s="0" t="n">
        <f aca="false">IFERROR(__xludf.dummyfunction("""COMPUTED_VALUE"""),10020)</f>
        <v>10020</v>
      </c>
      <c r="C566" s="24" t="n">
        <f aca="false">IFERROR(__xludf.dummyfunction("""COMPUTED_VALUE"""),10)</f>
        <v>10</v>
      </c>
      <c r="D566" s="0" t="n">
        <f aca="false">IFERROR(__xludf.dummyfunction("""COMPUTED_VALUE"""),1)</f>
        <v>1</v>
      </c>
      <c r="E566" s="0" t="n">
        <f aca="false">IFERROR(__xludf.dummyfunction("""COMPUTED_VALUE"""),20)</f>
        <v>20</v>
      </c>
      <c r="F566" s="0" t="str">
        <f aca="false">IFERROR(__xludf.dummyfunction("filter(Formulas!$C:$C,Formulas!$A:$A=B566)"),"""formula"":[{""sku"":""1201"",""req"":1},{""sku"":""1116"",""req"":1},{""sku"":""1106"",""req"":4},{""sku"":""1112"",""req"":1},{""sku"":""1114"",""req"":1},{""sku"":""1407"",""req"":1}]")</f>
        <v>"formula":[{"sku":"1201","req":1},{"sku":"1116","req":1},{"sku":"1106","req":4},{"sku":"1112","req":1},{"sku":"1114","req":1},{"sku":"1407","req":1}]</v>
      </c>
      <c r="G566" s="0" t="n">
        <f aca="false">IFERROR(__xludf.dummyfunction("""COMPUTED_VALUE"""),1)</f>
        <v>1</v>
      </c>
      <c r="H566" s="21" t="str">
        <f aca="false">IFERROR(__xludf.dummyfunction("IF(D566,filter(Productos!AC:AC,Productos!A:A=B566),)"),"cocina")</f>
        <v>cocina</v>
      </c>
      <c r="I566" s="24" t="n">
        <f aca="false">IFERROR(__xludf.dummyfunction("""COMPUTED_VALUE"""),5900)</f>
        <v>5900</v>
      </c>
      <c r="K566" s="0" t="str">
        <f aca="false">IF(D566,"{""sku"":"""&amp;B566&amp;""", ""costo"":"&amp;C566&amp;", ""grupo"":"""&amp;A566&amp;""", ""lote"":"&amp;D566&amp;", ""tiempo"":"&amp;E566&amp;", "&amp;F566&amp;", ""vencimiento"":"&amp;G566&amp;IF(I566,", ""precio"":"&amp;I566,)&amp;", ""tipo"":"""&amp;H566&amp;"""},",)</f>
        <v>{"sku":"10020", "costo":10, "grupo":"8", "lote":1, "tiempo":20, "formula":[{"sku":"1201","req":1},{"sku":"1116","req":1},{"sku":"1106","req":4},{"sku":"1112","req":1},{"sku":"1114","req":1},{"sku":"1407","req":1}], "vencimiento":1, "precio":5900, "tipo":"cocina"},</v>
      </c>
    </row>
    <row r="567" customFormat="false" ht="13" hidden="false" customHeight="false" outlineLevel="0" collapsed="false">
      <c r="A567" s="17" t="n">
        <v>8</v>
      </c>
      <c r="B567" s="0" t="n">
        <f aca="false">IFERROR(__xludf.dummyfunction("""COMPUTED_VALUE"""),10021)</f>
        <v>10021</v>
      </c>
      <c r="C567" s="24" t="n">
        <f aca="false">IFERROR(__xludf.dummyfunction("""COMPUTED_VALUE"""),10)</f>
        <v>10</v>
      </c>
      <c r="D567" s="0" t="n">
        <f aca="false">IFERROR(__xludf.dummyfunction("""COMPUTED_VALUE"""),1)</f>
        <v>1</v>
      </c>
      <c r="E567" s="0" t="n">
        <f aca="false">IFERROR(__xludf.dummyfunction("""COMPUTED_VALUE"""),10)</f>
        <v>10</v>
      </c>
      <c r="F567" s="0" t="str">
        <f aca="false">IFERROR(__xludf.dummyfunction("filter(Formulas!$C:$C,Formulas!$A:$A=B567)"),"""formula"":[{""sku"":""1201"",""req"":1},{""sku"":""1116"",""req"":1},{""sku"":""1109"",""req"":1},{""sku"":""1114"",""req"":1},{""sku"":""1407"",""req"":1}]")</f>
        <v>"formula":[{"sku":"1201","req":1},{"sku":"1116","req":1},{"sku":"1109","req":1},{"sku":"1114","req":1},{"sku":"1407","req":1}]</v>
      </c>
      <c r="G567" s="0" t="n">
        <f aca="false">IFERROR(__xludf.dummyfunction("""COMPUTED_VALUE"""),1)</f>
        <v>1</v>
      </c>
      <c r="H567" s="21" t="str">
        <f aca="false">IFERROR(__xludf.dummyfunction("IF(D567,filter(Productos!AC:AC,Productos!A:A=B567),)"),"cocina")</f>
        <v>cocina</v>
      </c>
      <c r="I567" s="24" t="n">
        <f aca="false">IFERROR(__xludf.dummyfunction("""COMPUTED_VALUE"""),5900)</f>
        <v>5900</v>
      </c>
      <c r="K567" s="0" t="str">
        <f aca="false">IF(D567,"{""sku"":"""&amp;B567&amp;""", ""costo"":"&amp;C567&amp;", ""grupo"":"""&amp;A567&amp;""", ""lote"":"&amp;D567&amp;", ""tiempo"":"&amp;E567&amp;", "&amp;F567&amp;", ""vencimiento"":"&amp;G567&amp;IF(I567,", ""precio"":"&amp;I567,)&amp;", ""tipo"":"""&amp;H567&amp;"""},",)</f>
        <v>{"sku":"10021", "costo":10, "grupo":"8", "lote":1, "tiempo":10, "formula":[{"sku":"1201","req":1},{"sku":"1116","req":1},{"sku":"1109","req":1},{"sku":"1114","req":1},{"sku":"1407","req":1}], "vencimiento":1, "precio":5900, "tipo":"cocina"},</v>
      </c>
    </row>
    <row r="568" customFormat="false" ht="13" hidden="false" customHeight="false" outlineLevel="0" collapsed="false">
      <c r="A568" s="16" t="n">
        <v>8</v>
      </c>
      <c r="B568" s="0" t="n">
        <f aca="false">IFERROR(__xludf.dummyfunction("""COMPUTED_VALUE"""),10022)</f>
        <v>10022</v>
      </c>
      <c r="C568" s="24" t="n">
        <f aca="false">IFERROR(__xludf.dummyfunction("""COMPUTED_VALUE"""),10)</f>
        <v>10</v>
      </c>
      <c r="D568" s="0" t="n">
        <f aca="false">IFERROR(__xludf.dummyfunction("""COMPUTED_VALUE"""),1)</f>
        <v>1</v>
      </c>
      <c r="E568" s="0" t="n">
        <f aca="false">IFERROR(__xludf.dummyfunction("""COMPUTED_VALUE"""),20)</f>
        <v>20</v>
      </c>
      <c r="F568" s="0" t="str">
        <f aca="false">IFERROR(__xludf.dummyfunction("filter(Formulas!$C:$C,Formulas!$A:$A=B568)"),"""formula"":[{""sku"":""1201"",""req"":1},{""sku"":""1116"",""req"":1},{""sku"":""1107"",""req"":1},{""sku"":""1112"",""req"":1},{""sku"":""1210"",""req"":1},{""sku"":""1215"",""req"":1}]")</f>
        <v>"formula":[{"sku":"1201","req":1},{"sku":"1116","req":1},{"sku":"1107","req":1},{"sku":"1112","req":1},{"sku":"1210","req":1},{"sku":"1215","req":1}]</v>
      </c>
      <c r="G568" s="0" t="n">
        <f aca="false">IFERROR(__xludf.dummyfunction("""COMPUTED_VALUE"""),1)</f>
        <v>1</v>
      </c>
      <c r="H568" s="21" t="str">
        <f aca="false">IFERROR(__xludf.dummyfunction("IF(D568,filter(Productos!AC:AC,Productos!A:A=B568),)"),"cocina")</f>
        <v>cocina</v>
      </c>
      <c r="I568" s="24" t="n">
        <f aca="false">IFERROR(__xludf.dummyfunction("""COMPUTED_VALUE"""),5500)</f>
        <v>5500</v>
      </c>
      <c r="K568" s="0" t="str">
        <f aca="false">IF(D568,"{""sku"":"""&amp;B568&amp;""", ""costo"":"&amp;C568&amp;", ""grupo"":"""&amp;A568&amp;""", ""lote"":"&amp;D568&amp;", ""tiempo"":"&amp;E568&amp;", "&amp;F568&amp;", ""vencimiento"":"&amp;G568&amp;IF(I568,", ""precio"":"&amp;I568,)&amp;", ""tipo"":"""&amp;H568&amp;"""},",)</f>
        <v>{"sku":"10022", "costo":10, "grupo":"8", "lote":1, "tiempo":20, "formula":[{"sku":"1201","req":1},{"sku":"1116","req":1},{"sku":"1107","req":1},{"sku":"1112","req":1},{"sku":"1210","req":1},{"sku":"1215","req":1}], "vencimiento":1, "precio":5500, "tipo":"cocina"},</v>
      </c>
    </row>
    <row r="569" customFormat="false" ht="13" hidden="false" customHeight="false" outlineLevel="0" collapsed="false">
      <c r="A569" s="17" t="n">
        <v>8</v>
      </c>
      <c r="B569" s="0" t="n">
        <f aca="false">IFERROR(__xludf.dummyfunction("""COMPUTED_VALUE"""),10023)</f>
        <v>10023</v>
      </c>
      <c r="C569" s="24" t="n">
        <f aca="false">IFERROR(__xludf.dummyfunction("""COMPUTED_VALUE"""),10)</f>
        <v>10</v>
      </c>
      <c r="D569" s="0" t="n">
        <f aca="false">IFERROR(__xludf.dummyfunction("""COMPUTED_VALUE"""),1)</f>
        <v>1</v>
      </c>
      <c r="E569" s="0" t="n">
        <f aca="false">IFERROR(__xludf.dummyfunction("""COMPUTED_VALUE"""),20)</f>
        <v>20</v>
      </c>
      <c r="F569" s="0" t="str">
        <f aca="false">IFERROR(__xludf.dummyfunction("filter(Formulas!$C:$C,Formulas!$A:$A=B569)"),"""formula"":[{""sku"":""1201"",""req"":1},{""sku"":""1116"",""req"":1},{""sku"":""1109"",""req"":1},{""sku"":""1112"",""req"":1},{""sku"":""1210"",""req"":1},{""sku"":""1215"",""req"":1}]")</f>
        <v>"formula":[{"sku":"1201","req":1},{"sku":"1116","req":1},{"sku":"1109","req":1},{"sku":"1112","req":1},{"sku":"1210","req":1},{"sku":"1215","req":1}]</v>
      </c>
      <c r="G569" s="0" t="n">
        <f aca="false">IFERROR(__xludf.dummyfunction("""COMPUTED_VALUE"""),1)</f>
        <v>1</v>
      </c>
      <c r="H569" s="21" t="str">
        <f aca="false">IFERROR(__xludf.dummyfunction("IF(D569,filter(Productos!AC:AC,Productos!A:A=B569),)"),"cocina")</f>
        <v>cocina</v>
      </c>
      <c r="I569" s="24" t="n">
        <f aca="false">IFERROR(__xludf.dummyfunction("""COMPUTED_VALUE"""),5500)</f>
        <v>5500</v>
      </c>
      <c r="K569" s="0" t="str">
        <f aca="false">IF(D569,"{""sku"":"""&amp;B569&amp;""", ""costo"":"&amp;C569&amp;", ""grupo"":"""&amp;A569&amp;""", ""lote"":"&amp;D569&amp;", ""tiempo"":"&amp;E569&amp;", "&amp;F569&amp;", ""vencimiento"":"&amp;G569&amp;IF(I569,", ""precio"":"&amp;I569,)&amp;", ""tipo"":"""&amp;H569&amp;"""},",)</f>
        <v>{"sku":"10023", "costo":10, "grupo":"8", "lote":1, "tiempo":20, "formula":[{"sku":"1201","req":1},{"sku":"1116","req":1},{"sku":"1109","req":1},{"sku":"1112","req":1},{"sku":"1210","req":1},{"sku":"1215","req":1}], "vencimiento":1, "precio":5500, "tipo":"cocina"},</v>
      </c>
    </row>
    <row r="570" customFormat="false" ht="13" hidden="false" customHeight="false" outlineLevel="0" collapsed="false">
      <c r="A570" s="16" t="n">
        <v>8</v>
      </c>
      <c r="B570" s="0" t="n">
        <f aca="false">IFERROR(__xludf.dummyfunction("""COMPUTED_VALUE"""),10024)</f>
        <v>10024</v>
      </c>
      <c r="C570" s="24" t="n">
        <f aca="false">IFERROR(__xludf.dummyfunction("""COMPUTED_VALUE"""),10)</f>
        <v>10</v>
      </c>
      <c r="D570" s="0" t="n">
        <f aca="false">IFERROR(__xludf.dummyfunction("""COMPUTED_VALUE"""),1)</f>
        <v>1</v>
      </c>
      <c r="E570" s="0" t="n">
        <f aca="false">IFERROR(__xludf.dummyfunction("""COMPUTED_VALUE"""),20)</f>
        <v>20</v>
      </c>
      <c r="F570" s="0" t="str">
        <f aca="false">IFERROR(__xludf.dummyfunction("filter(Formulas!$C:$C,Formulas!$A:$A=B570)"),"""formula"":[{""sku"":""1201"",""req"":1},{""sku"":""1116"",""req"":1},{""sku"":""1210"",""req"":1},{""sku"":""1114"",""req"":1},{""sku"":""1115"",""req"":1},{""sku"":""1211"",""req"":1}]")</f>
        <v>"formula":[{"sku":"1201","req":1},{"sku":"1116","req":1},{"sku":"1210","req":1},{"sku":"1114","req":1},{"sku":"1115","req":1},{"sku":"1211","req":1}]</v>
      </c>
      <c r="G570" s="0" t="n">
        <f aca="false">IFERROR(__xludf.dummyfunction("""COMPUTED_VALUE"""),1)</f>
        <v>1</v>
      </c>
      <c r="H570" s="21" t="str">
        <f aca="false">IFERROR(__xludf.dummyfunction("IF(D570,filter(Productos!AC:AC,Productos!A:A=B570),)"),"cocina")</f>
        <v>cocina</v>
      </c>
      <c r="I570" s="24" t="n">
        <f aca="false">IFERROR(__xludf.dummyfunction("""COMPUTED_VALUE"""),4900)</f>
        <v>4900</v>
      </c>
      <c r="K570" s="0" t="str">
        <f aca="false">IF(D570,"{""sku"":"""&amp;B570&amp;""", ""costo"":"&amp;C570&amp;", ""grupo"":"""&amp;A570&amp;""", ""lote"":"&amp;D570&amp;", ""tiempo"":"&amp;E570&amp;", "&amp;F570&amp;", ""vencimiento"":"&amp;G570&amp;IF(I570,", ""precio"":"&amp;I570,)&amp;", ""tipo"":"""&amp;H570&amp;"""},",)</f>
        <v>{"sku":"10024", "costo":10, "grupo":"8", "lote":1, "tiempo":20, "formula":[{"sku":"1201","req":1},{"sku":"1116","req":1},{"sku":"1210","req":1},{"sku":"1114","req":1},{"sku":"1115","req":1},{"sku":"1211","req":1}], "vencimiento":1, "precio":4900, "tipo":"cocina"},</v>
      </c>
    </row>
    <row r="571" customFormat="false" ht="13" hidden="false" customHeight="false" outlineLevel="0" collapsed="false">
      <c r="A571" s="17" t="n">
        <v>8</v>
      </c>
      <c r="B571" s="0" t="n">
        <f aca="false">IFERROR(__xludf.dummyfunction("""COMPUTED_VALUE"""),10025)</f>
        <v>10025</v>
      </c>
      <c r="C571" s="24" t="n">
        <f aca="false">IFERROR(__xludf.dummyfunction("""COMPUTED_VALUE"""),10)</f>
        <v>10</v>
      </c>
      <c r="D571" s="0" t="n">
        <f aca="false">IFERROR(__xludf.dummyfunction("""COMPUTED_VALUE"""),1)</f>
        <v>1</v>
      </c>
      <c r="E571" s="0" t="n">
        <f aca="false">IFERROR(__xludf.dummyfunction("""COMPUTED_VALUE"""),20)</f>
        <v>20</v>
      </c>
      <c r="F571" s="0" t="str">
        <f aca="false">IFERROR(__xludf.dummyfunction("filter(Formulas!$C:$C,Formulas!$A:$A=B571)"),"""formula"":[{""sku"":""1201"",""req"":1},{""sku"":""1116"",""req"":1},{""sku"":""1210"",""req"":1},{""sku"":""1114"",""req"":1},{""sku"":""1115"",""req"":1},{""sku"":""1013"",""req"":5}]")</f>
        <v>"formula":[{"sku":"1201","req":1},{"sku":"1116","req":1},{"sku":"1210","req":1},{"sku":"1114","req":1},{"sku":"1115","req":1},{"sku":"1013","req":5}]</v>
      </c>
      <c r="G571" s="0" t="n">
        <f aca="false">IFERROR(__xludf.dummyfunction("""COMPUTED_VALUE"""),1)</f>
        <v>1</v>
      </c>
      <c r="H571" s="21" t="str">
        <f aca="false">IFERROR(__xludf.dummyfunction("IF(D571,filter(Productos!AC:AC,Productos!A:A=B571),)"),"cocina")</f>
        <v>cocina</v>
      </c>
      <c r="I571" s="24" t="n">
        <f aca="false">IFERROR(__xludf.dummyfunction("""COMPUTED_VALUE"""),4900)</f>
        <v>4900</v>
      </c>
      <c r="K571" s="0" t="str">
        <f aca="false">IF(D571,"{""sku"":"""&amp;B571&amp;""", ""costo"":"&amp;C571&amp;", ""grupo"":"""&amp;A571&amp;""", ""lote"":"&amp;D571&amp;", ""tiempo"":"&amp;E571&amp;", "&amp;F571&amp;", ""vencimiento"":"&amp;G571&amp;IF(I571,", ""precio"":"&amp;I571,)&amp;", ""tipo"":"""&amp;H571&amp;"""},",)</f>
        <v>{"sku":"10025", "costo":10, "grupo":"8", "lote":1, "tiempo":20, "formula":[{"sku":"1201","req":1},{"sku":"1116","req":1},{"sku":"1210","req":1},{"sku":"1114","req":1},{"sku":"1115","req":1},{"sku":"1013","req":5}], "vencimiento":1, "precio":4900, "tipo":"cocina"},</v>
      </c>
    </row>
    <row r="572" customFormat="false" ht="13" hidden="false" customHeight="false" outlineLevel="0" collapsed="false">
      <c r="A572" s="16" t="n">
        <v>8</v>
      </c>
      <c r="B572" s="0" t="n">
        <f aca="false">IFERROR(__xludf.dummyfunction("""COMPUTED_VALUE"""),20001)</f>
        <v>20001</v>
      </c>
      <c r="C572" s="24" t="n">
        <f aca="false">IFERROR(__xludf.dummyfunction("""COMPUTED_VALUE"""),10)</f>
        <v>10</v>
      </c>
      <c r="D572" s="0" t="n">
        <f aca="false">IFERROR(__xludf.dummyfunction("""COMPUTED_VALUE"""),1)</f>
        <v>1</v>
      </c>
      <c r="E572" s="0" t="n">
        <f aca="false">IFERROR(__xludf.dummyfunction("""COMPUTED_VALUE"""),10)</f>
        <v>10</v>
      </c>
      <c r="F572" s="0" t="str">
        <f aca="false">IFERROR(__xludf.dummyfunction("filter(Formulas!$C:$C,Formulas!$A:$A=B572)"),"""formula"":[{""sku"":""1301"",""req"":1},{""sku"":""1207"",""req"":1},{""sku"":""1310"",""req"":1},{""sku"":""1112"",""req"":1},{""sku"":""1216"",""req"":1}]")</f>
        <v>"formula":[{"sku":"1301","req":1},{"sku":"1207","req":1},{"sku":"1310","req":1},{"sku":"1112","req":1},{"sku":"1216","req":1}]</v>
      </c>
      <c r="G572" s="0" t="n">
        <f aca="false">IFERROR(__xludf.dummyfunction("""COMPUTED_VALUE"""),1)</f>
        <v>1</v>
      </c>
      <c r="H572" s="21" t="str">
        <f aca="false">IFERROR(__xludf.dummyfunction("IF(D572,filter(Productos!AC:AC,Productos!A:A=B572),)"),"cocina")</f>
        <v>cocina</v>
      </c>
      <c r="I572" s="24" t="n">
        <f aca="false">IFERROR(__xludf.dummyfunction("""COMPUTED_VALUE"""),2700)</f>
        <v>2700</v>
      </c>
      <c r="K572" s="0" t="str">
        <f aca="false">IF(D572,"{""sku"":"""&amp;B572&amp;""", ""costo"":"&amp;C572&amp;", ""grupo"":"""&amp;A572&amp;""", ""lote"":"&amp;D572&amp;", ""tiempo"":"&amp;E572&amp;", "&amp;F572&amp;", ""vencimiento"":"&amp;G572&amp;IF(I572,", ""precio"":"&amp;I572,)&amp;", ""tipo"":"""&amp;H572&amp;"""},",)</f>
        <v>{"sku":"20001", "costo":10, "grupo":"8", "lote":1, "tiempo":10, "formula":[{"sku":"1301","req":1},{"sku":"1207","req":1},{"sku":"1310","req":1},{"sku":"1112","req":1},{"sku":"1216","req":1}], "vencimiento":1, "precio":2700, "tipo":"cocina"},</v>
      </c>
    </row>
    <row r="573" customFormat="false" ht="13" hidden="false" customHeight="false" outlineLevel="0" collapsed="false">
      <c r="A573" s="17" t="n">
        <v>8</v>
      </c>
      <c r="B573" s="0" t="n">
        <f aca="false">IFERROR(__xludf.dummyfunction("""COMPUTED_VALUE"""),20002)</f>
        <v>20002</v>
      </c>
      <c r="C573" s="24" t="n">
        <f aca="false">IFERROR(__xludf.dummyfunction("""COMPUTED_VALUE"""),10)</f>
        <v>10</v>
      </c>
      <c r="D573" s="0" t="n">
        <f aca="false">IFERROR(__xludf.dummyfunction("""COMPUTED_VALUE"""),1)</f>
        <v>1</v>
      </c>
      <c r="E573" s="0" t="n">
        <f aca="false">IFERROR(__xludf.dummyfunction("""COMPUTED_VALUE"""),10)</f>
        <v>10</v>
      </c>
      <c r="F573" s="0" t="str">
        <f aca="false">IFERROR(__xludf.dummyfunction("filter(Formulas!$C:$C,Formulas!$A:$A=B573)"),"""formula"":[{""sku"":""1301"",""req"":1},{""sku"":""1216"",""req"":1},{""sku"":""1106"",""req"":4}]")</f>
        <v>"formula":[{"sku":"1301","req":1},{"sku":"1216","req":1},{"sku":"1106","req":4}]</v>
      </c>
      <c r="G573" s="0" t="n">
        <f aca="false">IFERROR(__xludf.dummyfunction("""COMPUTED_VALUE"""),1)</f>
        <v>1</v>
      </c>
      <c r="H573" s="21" t="str">
        <f aca="false">IFERROR(__xludf.dummyfunction("IF(D573,filter(Productos!AC:AC,Productos!A:A=B573),)"),"cocina")</f>
        <v>cocina</v>
      </c>
      <c r="I573" s="24" t="n">
        <f aca="false">IFERROR(__xludf.dummyfunction("""COMPUTED_VALUE"""),2700)</f>
        <v>2700</v>
      </c>
      <c r="K573" s="0" t="str">
        <f aca="false">IF(D573,"{""sku"":"""&amp;B573&amp;""", ""costo"":"&amp;C573&amp;", ""grupo"":"""&amp;A573&amp;""", ""lote"":"&amp;D573&amp;", ""tiempo"":"&amp;E573&amp;", "&amp;F573&amp;", ""vencimiento"":"&amp;G573&amp;IF(I573,", ""precio"":"&amp;I573,)&amp;", ""tipo"":"""&amp;H573&amp;"""},",)</f>
        <v>{"sku":"20002", "costo":10, "grupo":"8", "lote":1, "tiempo":10, "formula":[{"sku":"1301","req":1},{"sku":"1216","req":1},{"sku":"1106","req":4}], "vencimiento":1, "precio":2700, "tipo":"cocina"},</v>
      </c>
    </row>
    <row r="574" customFormat="false" ht="13" hidden="false" customHeight="false" outlineLevel="0" collapsed="false">
      <c r="A574" s="16" t="n">
        <v>8</v>
      </c>
      <c r="B574" s="0" t="n">
        <f aca="false">IFERROR(__xludf.dummyfunction("""COMPUTED_VALUE"""),20003)</f>
        <v>20003</v>
      </c>
      <c r="C574" s="24" t="n">
        <f aca="false">IFERROR(__xludf.dummyfunction("""COMPUTED_VALUE"""),10)</f>
        <v>10</v>
      </c>
      <c r="D574" s="0" t="n">
        <f aca="false">IFERROR(__xludf.dummyfunction("""COMPUTED_VALUE"""),1)</f>
        <v>1</v>
      </c>
      <c r="E574" s="0" t="n">
        <f aca="false">IFERROR(__xludf.dummyfunction("""COMPUTED_VALUE"""),10)</f>
        <v>10</v>
      </c>
      <c r="F574" s="0" t="str">
        <f aca="false">IFERROR(__xludf.dummyfunction("filter(Formulas!$C:$C,Formulas!$A:$A=B574)"),"""formula"":[{""sku"":""1301"",""req"":1},{""sku"":""1216"",""req"":1},{""sku"":""1207"",""req"":1}]")</f>
        <v>"formula":[{"sku":"1301","req":1},{"sku":"1216","req":1},{"sku":"1207","req":1}]</v>
      </c>
      <c r="G574" s="0" t="n">
        <f aca="false">IFERROR(__xludf.dummyfunction("""COMPUTED_VALUE"""),1)</f>
        <v>1</v>
      </c>
      <c r="H574" s="21" t="str">
        <f aca="false">IFERROR(__xludf.dummyfunction("IF(D574,filter(Productos!AC:AC,Productos!A:A=B574),)"),"cocina")</f>
        <v>cocina</v>
      </c>
      <c r="I574" s="24" t="n">
        <f aca="false">IFERROR(__xludf.dummyfunction("""COMPUTED_VALUE"""),2700)</f>
        <v>2700</v>
      </c>
      <c r="K574" s="0" t="str">
        <f aca="false">IF(D574,"{""sku"":"""&amp;B574&amp;""", ""costo"":"&amp;C574&amp;", ""grupo"":"""&amp;A574&amp;""", ""lote"":"&amp;D574&amp;", ""tiempo"":"&amp;E574&amp;", "&amp;F574&amp;", ""vencimiento"":"&amp;G574&amp;IF(I574,", ""precio"":"&amp;I574,)&amp;", ""tipo"":"""&amp;H574&amp;"""},",)</f>
        <v>{"sku":"20003", "costo":10, "grupo":"8", "lote":1, "tiempo":10, "formula":[{"sku":"1301","req":1},{"sku":"1216","req":1},{"sku":"1207","req":1}], "vencimiento":1, "precio":2700, "tipo":"cocina"},</v>
      </c>
    </row>
    <row r="575" customFormat="false" ht="13" hidden="false" customHeight="false" outlineLevel="0" collapsed="false">
      <c r="A575" s="17" t="n">
        <v>8</v>
      </c>
      <c r="B575" s="0" t="n">
        <f aca="false">IFERROR(__xludf.dummyfunction("""COMPUTED_VALUE"""),20004)</f>
        <v>20004</v>
      </c>
      <c r="C575" s="24" t="n">
        <f aca="false">IFERROR(__xludf.dummyfunction("""COMPUTED_VALUE"""),10)</f>
        <v>10</v>
      </c>
      <c r="D575" s="0" t="n">
        <f aca="false">IFERROR(__xludf.dummyfunction("""COMPUTED_VALUE"""),1)</f>
        <v>1</v>
      </c>
      <c r="E575" s="0" t="n">
        <f aca="false">IFERROR(__xludf.dummyfunction("""COMPUTED_VALUE"""),10)</f>
        <v>10</v>
      </c>
      <c r="F575" s="0" t="str">
        <f aca="false">IFERROR(__xludf.dummyfunction("filter(Formulas!$C:$C,Formulas!$A:$A=B575)"),"""formula"":[{""sku"":""1301"",""req"":1},{""sku"":""1216"",""req"":1},{""sku"":""1209"",""req"":1}]")</f>
        <v>"formula":[{"sku":"1301","req":1},{"sku":"1216","req":1},{"sku":"1209","req":1}]</v>
      </c>
      <c r="G575" s="0" t="n">
        <f aca="false">IFERROR(__xludf.dummyfunction("""COMPUTED_VALUE"""),1)</f>
        <v>1</v>
      </c>
      <c r="H575" s="21" t="str">
        <f aca="false">IFERROR(__xludf.dummyfunction("IF(D575,filter(Productos!AC:AC,Productos!A:A=B575),)"),"cocina")</f>
        <v>cocina</v>
      </c>
      <c r="I575" s="24" t="n">
        <f aca="false">IFERROR(__xludf.dummyfunction("""COMPUTED_VALUE"""),2700)</f>
        <v>2700</v>
      </c>
      <c r="K575" s="0" t="str">
        <f aca="false">IF(D575,"{""sku"":"""&amp;B575&amp;""", ""costo"":"&amp;C575&amp;", ""grupo"":"""&amp;A575&amp;""", ""lote"":"&amp;D575&amp;", ""tiempo"":"&amp;E575&amp;", "&amp;F575&amp;", ""vencimiento"":"&amp;G575&amp;IF(I575,", ""precio"":"&amp;I575,)&amp;", ""tipo"":"""&amp;H575&amp;"""},",)</f>
        <v>{"sku":"20004", "costo":10, "grupo":"8", "lote":1, "tiempo":10, "formula":[{"sku":"1301","req":1},{"sku":"1216","req":1},{"sku":"1209","req":1}], "vencimiento":1, "precio":2700, "tipo":"cocina"},</v>
      </c>
    </row>
    <row r="576" customFormat="false" ht="13" hidden="false" customHeight="false" outlineLevel="0" collapsed="false">
      <c r="A576" s="16" t="n">
        <v>8</v>
      </c>
      <c r="B576" s="0" t="n">
        <f aca="false">IFERROR(__xludf.dummyfunction("""COMPUTED_VALUE"""),20005)</f>
        <v>20005</v>
      </c>
      <c r="C576" s="24" t="n">
        <f aca="false">IFERROR(__xludf.dummyfunction("""COMPUTED_VALUE"""),10)</f>
        <v>10</v>
      </c>
      <c r="D576" s="0" t="n">
        <f aca="false">IFERROR(__xludf.dummyfunction("""COMPUTED_VALUE"""),1)</f>
        <v>1</v>
      </c>
      <c r="E576" s="0" t="n">
        <f aca="false">IFERROR(__xludf.dummyfunction("""COMPUTED_VALUE"""),20)</f>
        <v>20</v>
      </c>
      <c r="F576" s="0" t="str">
        <f aca="false">IFERROR(__xludf.dummyfunction("filter(Formulas!$C:$C,Formulas!$A:$A=B576)"),"""formula"":[{""sku"":""1301"",""req"":1},{""sku"":""1216"",""req"":1},{""sku"":""1209"",""req"":1},{""sku"":""1310"",""req"":1},{""sku"":""1112"",""req"":1}]")</f>
        <v>"formula":[{"sku":"1301","req":1},{"sku":"1216","req":1},{"sku":"1209","req":1},{"sku":"1310","req":1},{"sku":"1112","req":1}]</v>
      </c>
      <c r="G576" s="0" t="n">
        <f aca="false">IFERROR(__xludf.dummyfunction("""COMPUTED_VALUE"""),1)</f>
        <v>1</v>
      </c>
      <c r="H576" s="21" t="str">
        <f aca="false">IFERROR(__xludf.dummyfunction("IF(D576,filter(Productos!AC:AC,Productos!A:A=B576),)"),"cocina")</f>
        <v>cocina</v>
      </c>
      <c r="I576" s="24" t="n">
        <f aca="false">IFERROR(__xludf.dummyfunction("""COMPUTED_VALUE"""),2700)</f>
        <v>2700</v>
      </c>
      <c r="K576" s="0" t="str">
        <f aca="false">IF(D576,"{""sku"":"""&amp;B576&amp;""", ""costo"":"&amp;C576&amp;", ""grupo"":"""&amp;A576&amp;""", ""lote"":"&amp;D576&amp;", ""tiempo"":"&amp;E576&amp;", "&amp;F576&amp;", ""vencimiento"":"&amp;G576&amp;IF(I576,", ""precio"":"&amp;I576,)&amp;", ""tipo"":"""&amp;H576&amp;"""},",)</f>
        <v>{"sku":"20005", "costo":10, "grupo":"8", "lote":1, "tiempo":20, "formula":[{"sku":"1301","req":1},{"sku":"1216","req":1},{"sku":"1209","req":1},{"sku":"1310","req":1},{"sku":"1112","req":1}], "vencimiento":1, "precio":2700, "tipo":"cocina"},</v>
      </c>
    </row>
    <row r="577" customFormat="false" ht="13" hidden="false" customHeight="false" outlineLevel="0" collapsed="false">
      <c r="A577" s="17" t="n">
        <v>8</v>
      </c>
      <c r="B577" s="0" t="n">
        <f aca="false">IFERROR(__xludf.dummyfunction("""COMPUTED_VALUE"""),30001)</f>
        <v>30001</v>
      </c>
      <c r="C577" s="24" t="n">
        <f aca="false">IFERROR(__xludf.dummyfunction("""COMPUTED_VALUE"""),10)</f>
        <v>10</v>
      </c>
      <c r="D577" s="0" t="n">
        <f aca="false">IFERROR(__xludf.dummyfunction("""COMPUTED_VALUE"""),1)</f>
        <v>1</v>
      </c>
      <c r="E577" s="0" t="n">
        <f aca="false">IFERROR(__xludf.dummyfunction("""COMPUTED_VALUE"""),10)</f>
        <v>10</v>
      </c>
      <c r="F577" s="0" t="str">
        <f aca="false">IFERROR(__xludf.dummyfunction("filter(Formulas!$C:$C,Formulas!$A:$A=B577)"),"""formula"":[{""sku"":""1307"",""req"":3}]")</f>
        <v>"formula":[{"sku":"1307","req":3}]</v>
      </c>
      <c r="G577" s="0" t="n">
        <f aca="false">IFERROR(__xludf.dummyfunction("""COMPUTED_VALUE"""),1)</f>
        <v>1</v>
      </c>
      <c r="H577" s="21" t="str">
        <f aca="false">IFERROR(__xludf.dummyfunction("IF(D577,filter(Productos!AC:AC,Productos!A:A=B577),)"),"cocina")</f>
        <v>cocina</v>
      </c>
      <c r="I577" s="24" t="n">
        <f aca="false">IFERROR(__xludf.dummyfunction("""COMPUTED_VALUE"""),7900)</f>
        <v>7900</v>
      </c>
      <c r="K577" s="0" t="str">
        <f aca="false">IF(D577,"{""sku"":"""&amp;B577&amp;""", ""costo"":"&amp;C577&amp;", ""grupo"":"""&amp;A577&amp;""", ""lote"":"&amp;D577&amp;", ""tiempo"":"&amp;E577&amp;", "&amp;F577&amp;", ""vencimiento"":"&amp;G577&amp;IF(I577,", ""precio"":"&amp;I577,)&amp;", ""tipo"":"""&amp;H577&amp;"""},",)</f>
        <v>{"sku":"30001", "costo":10, "grupo":"8", "lote":1, "tiempo":10, "formula":[{"sku":"1307","req":3}], "vencimiento":1, "precio":7900, "tipo":"cocina"},</v>
      </c>
    </row>
    <row r="578" customFormat="false" ht="13" hidden="false" customHeight="false" outlineLevel="0" collapsed="false">
      <c r="A578" s="16" t="n">
        <v>8</v>
      </c>
      <c r="B578" s="0" t="n">
        <f aca="false">IFERROR(__xludf.dummyfunction("""COMPUTED_VALUE"""),30002)</f>
        <v>30002</v>
      </c>
      <c r="C578" s="24" t="n">
        <f aca="false">IFERROR(__xludf.dummyfunction("""COMPUTED_VALUE"""),10)</f>
        <v>10</v>
      </c>
      <c r="D578" s="0" t="n">
        <f aca="false">IFERROR(__xludf.dummyfunction("""COMPUTED_VALUE"""),1)</f>
        <v>1</v>
      </c>
      <c r="E578" s="0" t="n">
        <f aca="false">IFERROR(__xludf.dummyfunction("""COMPUTED_VALUE"""),10)</f>
        <v>10</v>
      </c>
      <c r="F578" s="0" t="str">
        <f aca="false">IFERROR(__xludf.dummyfunction("filter(Formulas!$C:$C,Formulas!$A:$A=B578)"),"""formula"":[{""sku"":""1307"",""req"":4}]")</f>
        <v>"formula":[{"sku":"1307","req":4}]</v>
      </c>
      <c r="G578" s="0" t="n">
        <f aca="false">IFERROR(__xludf.dummyfunction("""COMPUTED_VALUE"""),1)</f>
        <v>1</v>
      </c>
      <c r="H578" s="21" t="str">
        <f aca="false">IFERROR(__xludf.dummyfunction("IF(D578,filter(Productos!AC:AC,Productos!A:A=B578),)"),"cocina")</f>
        <v>cocina</v>
      </c>
      <c r="I578" s="24" t="n">
        <f aca="false">IFERROR(__xludf.dummyfunction("""COMPUTED_VALUE"""),9900)</f>
        <v>9900</v>
      </c>
      <c r="K578" s="0" t="str">
        <f aca="false">IF(D578,"{""sku"":"""&amp;B578&amp;""", ""costo"":"&amp;C578&amp;", ""grupo"":"""&amp;A578&amp;""", ""lote"":"&amp;D578&amp;", ""tiempo"":"&amp;E578&amp;", "&amp;F578&amp;", ""vencimiento"":"&amp;G578&amp;IF(I578,", ""precio"":"&amp;I578,)&amp;", ""tipo"":"""&amp;H578&amp;"""},",)</f>
        <v>{"sku":"30002", "costo":10, "grupo":"8", "lote":1, "tiempo":10, "formula":[{"sku":"1307","req":4}], "vencimiento":1, "precio":9900, "tipo":"cocina"},</v>
      </c>
    </row>
    <row r="579" customFormat="false" ht="13" hidden="false" customHeight="false" outlineLevel="0" collapsed="false">
      <c r="A579" s="17" t="n">
        <v>8</v>
      </c>
      <c r="B579" s="0" t="n">
        <f aca="false">IFERROR(__xludf.dummyfunction("""COMPUTED_VALUE"""),30003)</f>
        <v>30003</v>
      </c>
      <c r="C579" s="24" t="n">
        <f aca="false">IFERROR(__xludf.dummyfunction("""COMPUTED_VALUE"""),10)</f>
        <v>10</v>
      </c>
      <c r="D579" s="0" t="n">
        <f aca="false">IFERROR(__xludf.dummyfunction("""COMPUTED_VALUE"""),1)</f>
        <v>1</v>
      </c>
      <c r="E579" s="0" t="n">
        <f aca="false">IFERROR(__xludf.dummyfunction("""COMPUTED_VALUE"""),10)</f>
        <v>10</v>
      </c>
      <c r="F579" s="0" t="str">
        <f aca="false">IFERROR(__xludf.dummyfunction("filter(Formulas!$C:$C,Formulas!$A:$A=B579)"),"""formula"":[{""sku"":""1307"",""req"":5}]")</f>
        <v>"formula":[{"sku":"1307","req":5}]</v>
      </c>
      <c r="G579" s="0" t="n">
        <f aca="false">IFERROR(__xludf.dummyfunction("""COMPUTED_VALUE"""),1)</f>
        <v>1</v>
      </c>
      <c r="H579" s="21" t="str">
        <f aca="false">IFERROR(__xludf.dummyfunction("IF(D579,filter(Productos!AC:AC,Productos!A:A=B579),)"),"cocina")</f>
        <v>cocina</v>
      </c>
      <c r="I579" s="24" t="n">
        <f aca="false">IFERROR(__xludf.dummyfunction("""COMPUTED_VALUE"""),12500)</f>
        <v>12500</v>
      </c>
      <c r="K579" s="0" t="str">
        <f aca="false">IF(D579,"{""sku"":"""&amp;B579&amp;""", ""costo"":"&amp;C579&amp;", ""grupo"":"""&amp;A579&amp;""", ""lote"":"&amp;D579&amp;", ""tiempo"":"&amp;E579&amp;", "&amp;F579&amp;", ""vencimiento"":"&amp;G579&amp;IF(I579,", ""precio"":"&amp;I579,)&amp;", ""tipo"":"""&amp;H579&amp;"""},",)</f>
        <v>{"sku":"30003", "costo":10, "grupo":"8", "lote":1, "tiempo":10, "formula":[{"sku":"1307","req":5}], "vencimiento":1, "precio":12500, "tipo":"cocina"},</v>
      </c>
    </row>
    <row r="580" customFormat="false" ht="13" hidden="false" customHeight="false" outlineLevel="0" collapsed="false">
      <c r="A580" s="16" t="n">
        <v>8</v>
      </c>
      <c r="B580" s="0" t="n">
        <f aca="false">IFERROR(__xludf.dummyfunction("""COMPUTED_VALUE"""),30004)</f>
        <v>30004</v>
      </c>
      <c r="C580" s="24" t="n">
        <f aca="false">IFERROR(__xludf.dummyfunction("""COMPUTED_VALUE"""),10)</f>
        <v>10</v>
      </c>
      <c r="D580" s="0" t="n">
        <f aca="false">IFERROR(__xludf.dummyfunction("""COMPUTED_VALUE"""),1)</f>
        <v>1</v>
      </c>
      <c r="E580" s="0" t="n">
        <f aca="false">IFERROR(__xludf.dummyfunction("""COMPUTED_VALUE"""),10)</f>
        <v>10</v>
      </c>
      <c r="F580" s="0" t="str">
        <f aca="false">IFERROR(__xludf.dummyfunction("filter(Formulas!$C:$C,Formulas!$A:$A=B580)"),"""formula"":[{""sku"":""1309"",""req"":3}]")</f>
        <v>"formula":[{"sku":"1309","req":3}]</v>
      </c>
      <c r="G580" s="0" t="n">
        <f aca="false">IFERROR(__xludf.dummyfunction("""COMPUTED_VALUE"""),1)</f>
        <v>1</v>
      </c>
      <c r="H580" s="21" t="str">
        <f aca="false">IFERROR(__xludf.dummyfunction("IF(D580,filter(Productos!AC:AC,Productos!A:A=B580),)"),"cocina")</f>
        <v>cocina</v>
      </c>
      <c r="I580" s="24" t="n">
        <f aca="false">IFERROR(__xludf.dummyfunction("""COMPUTED_VALUE"""),7900)</f>
        <v>7900</v>
      </c>
      <c r="K580" s="0" t="str">
        <f aca="false">IF(D580,"{""sku"":"""&amp;B580&amp;""", ""costo"":"&amp;C580&amp;", ""grupo"":"""&amp;A580&amp;""", ""lote"":"&amp;D580&amp;", ""tiempo"":"&amp;E580&amp;", "&amp;F580&amp;", ""vencimiento"":"&amp;G580&amp;IF(I580,", ""precio"":"&amp;I580,)&amp;", ""tipo"":"""&amp;H580&amp;"""},",)</f>
        <v>{"sku":"30004", "costo":10, "grupo":"8", "lote":1, "tiempo":10, "formula":[{"sku":"1309","req":3}], "vencimiento":1, "precio":7900, "tipo":"cocina"},</v>
      </c>
    </row>
    <row r="581" customFormat="false" ht="13" hidden="false" customHeight="false" outlineLevel="0" collapsed="false">
      <c r="A581" s="17" t="n">
        <v>8</v>
      </c>
      <c r="B581" s="0" t="n">
        <f aca="false">IFERROR(__xludf.dummyfunction("""COMPUTED_VALUE"""),30005)</f>
        <v>30005</v>
      </c>
      <c r="C581" s="24" t="n">
        <f aca="false">IFERROR(__xludf.dummyfunction("""COMPUTED_VALUE"""),10)</f>
        <v>10</v>
      </c>
      <c r="D581" s="0" t="n">
        <f aca="false">IFERROR(__xludf.dummyfunction("""COMPUTED_VALUE"""),1)</f>
        <v>1</v>
      </c>
      <c r="E581" s="0" t="n">
        <f aca="false">IFERROR(__xludf.dummyfunction("""COMPUTED_VALUE"""),10)</f>
        <v>10</v>
      </c>
      <c r="F581" s="0" t="str">
        <f aca="false">IFERROR(__xludf.dummyfunction("filter(Formulas!$C:$C,Formulas!$A:$A=B581)"),"""formula"":[{""sku"":""1309"",""req"":4}]")</f>
        <v>"formula":[{"sku":"1309","req":4}]</v>
      </c>
      <c r="G581" s="0" t="n">
        <f aca="false">IFERROR(__xludf.dummyfunction("""COMPUTED_VALUE"""),1)</f>
        <v>1</v>
      </c>
      <c r="H581" s="21" t="str">
        <f aca="false">IFERROR(__xludf.dummyfunction("IF(D581,filter(Productos!AC:AC,Productos!A:A=B581),)"),"cocina")</f>
        <v>cocina</v>
      </c>
      <c r="I581" s="24" t="n">
        <f aca="false">IFERROR(__xludf.dummyfunction("""COMPUTED_VALUE"""),9900)</f>
        <v>9900</v>
      </c>
      <c r="K581" s="0" t="str">
        <f aca="false">IF(D581,"{""sku"":"""&amp;B581&amp;""", ""costo"":"&amp;C581&amp;", ""grupo"":"""&amp;A581&amp;""", ""lote"":"&amp;D581&amp;", ""tiempo"":"&amp;E581&amp;", "&amp;F581&amp;", ""vencimiento"":"&amp;G581&amp;IF(I581,", ""precio"":"&amp;I581,)&amp;", ""tipo"":"""&amp;H581&amp;"""},",)</f>
        <v>{"sku":"30005", "costo":10, "grupo":"8", "lote":1, "tiempo":10, "formula":[{"sku":"1309","req":4}], "vencimiento":1, "precio":9900, "tipo":"cocina"},</v>
      </c>
    </row>
    <row r="582" customFormat="false" ht="13" hidden="false" customHeight="false" outlineLevel="0" collapsed="false">
      <c r="A582" s="17" t="n">
        <v>8</v>
      </c>
      <c r="B582" s="0" t="n">
        <f aca="false">IFERROR(__xludf.dummyfunction("""COMPUTED_VALUE"""),30006)</f>
        <v>30006</v>
      </c>
      <c r="C582" s="24" t="n">
        <f aca="false">IFERROR(__xludf.dummyfunction("""COMPUTED_VALUE"""),10)</f>
        <v>10</v>
      </c>
      <c r="D582" s="0" t="n">
        <f aca="false">IFERROR(__xludf.dummyfunction("""COMPUTED_VALUE"""),1)</f>
        <v>1</v>
      </c>
      <c r="E582" s="0" t="n">
        <f aca="false">IFERROR(__xludf.dummyfunction("""COMPUTED_VALUE"""),10)</f>
        <v>10</v>
      </c>
      <c r="F582" s="0" t="str">
        <f aca="false">IFERROR(__xludf.dummyfunction("filter(Formulas!$C:$C,Formulas!$A:$A=B582)"),"""formula"":[{""sku"":""1309"",""req"":5}]")</f>
        <v>"formula":[{"sku":"1309","req":5}]</v>
      </c>
      <c r="G582" s="0" t="n">
        <f aca="false">IFERROR(__xludf.dummyfunction("""COMPUTED_VALUE"""),1)</f>
        <v>1</v>
      </c>
      <c r="H582" s="21" t="str">
        <f aca="false">IFERROR(__xludf.dummyfunction("IF(D582,filter(Productos!AC:AC,Productos!A:A=B582),)"),"cocina")</f>
        <v>cocina</v>
      </c>
      <c r="I582" s="24" t="n">
        <f aca="false">IFERROR(__xludf.dummyfunction("""COMPUTED_VALUE"""),12500)</f>
        <v>12500</v>
      </c>
      <c r="K582" s="0" t="str">
        <f aca="false">IF(D582,"{""sku"":"""&amp;B582&amp;""", ""costo"":"&amp;C582&amp;", ""grupo"":"""&amp;A582&amp;""", ""lote"":"&amp;D582&amp;", ""tiempo"":"&amp;E582&amp;", "&amp;F582&amp;", ""vencimiento"":"&amp;G582&amp;IF(I582,", ""precio"":"&amp;I582,)&amp;", ""tipo"":"""&amp;H582&amp;"""},",)</f>
        <v>{"sku":"30006", "costo":10, "grupo":"8", "lote":1, "tiempo":10, "formula":[{"sku":"1309","req":5}], "vencimiento":1, "precio":12500, "tipo":"cocina"},</v>
      </c>
    </row>
    <row r="583" customFormat="false" ht="13" hidden="false" customHeight="false" outlineLevel="0" collapsed="false">
      <c r="A583" s="17" t="n">
        <v>8</v>
      </c>
      <c r="B583" s="0" t="n">
        <f aca="false">IFERROR(__xludf.dummyfunction("""COMPUTED_VALUE"""),30007)</f>
        <v>30007</v>
      </c>
      <c r="C583" s="24" t="n">
        <f aca="false">IFERROR(__xludf.dummyfunction("""COMPUTED_VALUE"""),10)</f>
        <v>10</v>
      </c>
      <c r="D583" s="0" t="n">
        <f aca="false">IFERROR(__xludf.dummyfunction("""COMPUTED_VALUE"""),1)</f>
        <v>1</v>
      </c>
      <c r="E583" s="0" t="n">
        <f aca="false">IFERROR(__xludf.dummyfunction("""COMPUTED_VALUE"""),10)</f>
        <v>10</v>
      </c>
      <c r="F583" s="0" t="str">
        <f aca="false">IFERROR(__xludf.dummyfunction("filter(Formulas!$C:$C,Formulas!$A:$A=B583)"),"""formula"":[{""sku"":""1309"",""req"":2},{""sku"":""1307"",""req"":2}]")</f>
        <v>"formula":[{"sku":"1309","req":2},{"sku":"1307","req":2}]</v>
      </c>
      <c r="G583" s="0" t="n">
        <f aca="false">IFERROR(__xludf.dummyfunction("""COMPUTED_VALUE"""),1)</f>
        <v>1</v>
      </c>
      <c r="H583" s="21" t="str">
        <f aca="false">IFERROR(__xludf.dummyfunction("IF(D583,filter(Productos!AC:AC,Productos!A:A=B583),)"),"cocina")</f>
        <v>cocina</v>
      </c>
      <c r="I583" s="24" t="n">
        <f aca="false">IFERROR(__xludf.dummyfunction("""COMPUTED_VALUE"""),9900)</f>
        <v>9900</v>
      </c>
      <c r="K583" s="0" t="str">
        <f aca="false">IF(D583,"{""sku"":"""&amp;B583&amp;""", ""costo"":"&amp;C583&amp;", ""grupo"":"""&amp;A583&amp;""", ""lote"":"&amp;D583&amp;", ""tiempo"":"&amp;E583&amp;", "&amp;F583&amp;", ""vencimiento"":"&amp;G583&amp;IF(I583,", ""precio"":"&amp;I583,)&amp;", ""tipo"":"""&amp;H583&amp;"""},",)</f>
        <v>{"sku":"30007", "costo":10, "grupo":"8", "lote":1, "tiempo":10, "formula":[{"sku":"1309","req":2},{"sku":"1307","req":2}], "vencimiento":1, "precio":9900, "tipo":"cocina"},</v>
      </c>
    </row>
    <row r="584" customFormat="false" ht="13" hidden="false" customHeight="false" outlineLevel="0" collapsed="false">
      <c r="A584" s="17" t="n">
        <v>8</v>
      </c>
      <c r="B584" s="0" t="n">
        <f aca="false">IFERROR(__xludf.dummyfunction("""COMPUTED_VALUE"""),30008)</f>
        <v>30008</v>
      </c>
      <c r="C584" s="24" t="n">
        <f aca="false">IFERROR(__xludf.dummyfunction("""COMPUTED_VALUE"""),10)</f>
        <v>10</v>
      </c>
      <c r="D584" s="0" t="n">
        <f aca="false">IFERROR(__xludf.dummyfunction("""COMPUTED_VALUE"""),1)</f>
        <v>1</v>
      </c>
      <c r="E584" s="0" t="n">
        <f aca="false">IFERROR(__xludf.dummyfunction("""COMPUTED_VALUE"""),10)</f>
        <v>10</v>
      </c>
      <c r="F584" s="0" t="str">
        <f aca="false">IFERROR(__xludf.dummyfunction("filter(Formulas!$C:$C,Formulas!$A:$A=B584)"),"""formula"":[{""sku"":""1309"",""req"":3},{""sku"":""1307"",""req"":3}]")</f>
        <v>"formula":[{"sku":"1309","req":3},{"sku":"1307","req":3}]</v>
      </c>
      <c r="G584" s="0" t="n">
        <f aca="false">IFERROR(__xludf.dummyfunction("""COMPUTED_VALUE"""),1)</f>
        <v>1</v>
      </c>
      <c r="H584" s="21" t="str">
        <f aca="false">IFERROR(__xludf.dummyfunction("IF(D584,filter(Productos!AC:AC,Productos!A:A=B584),)"),"cocina")</f>
        <v>cocina</v>
      </c>
      <c r="I584" s="24" t="n">
        <f aca="false">IFERROR(__xludf.dummyfunction("""COMPUTED_VALUE"""),15990)</f>
        <v>15990</v>
      </c>
      <c r="K584" s="0" t="str">
        <f aca="false">IF(D584,"{""sku"":"""&amp;B584&amp;""", ""costo"":"&amp;C584&amp;", ""grupo"":"""&amp;A584&amp;""", ""lote"":"&amp;D584&amp;", ""tiempo"":"&amp;E584&amp;", "&amp;F584&amp;", ""vencimiento"":"&amp;G584&amp;IF(I584,", ""precio"":"&amp;I584,)&amp;", ""tipo"":"""&amp;H584&amp;"""},",)</f>
        <v>{"sku":"30008", "costo":10, "grupo":"8", "lote":1, "tiempo":10, "formula":[{"sku":"1309","req":3},{"sku":"1307","req":3}], "vencimiento":1, "precio":15990, "tipo":"cocina"},</v>
      </c>
    </row>
    <row r="585" customFormat="false" ht="13" hidden="false" customHeight="false" outlineLevel="0" collapsed="false">
      <c r="H585" s="21" t="str">
        <f aca="false">IFERROR(__xludf.dummyfunction("IF(D585,filter(Productos!AC:AC,Productos!A:A=B585),)"),"")</f>
        <v/>
      </c>
      <c r="K585" s="0" t="n">
        <f aca="false">IF(D585,"{""sku"":"""&amp;B585&amp;""", ""costo"":"&amp;C585&amp;", ""grupo"":"""&amp;A585&amp;""", ""lote"":"&amp;D585&amp;", ""tiempo"":"&amp;E585&amp;", "&amp;F585&amp;", ""vencimiento"":"&amp;G585&amp;IF(I585,", ""precio"":"&amp;I585,)&amp;", ""tipo"":"""&amp;H585&amp;"""},",)</f>
        <v>0</v>
      </c>
    </row>
    <row r="586" customFormat="false" ht="13" hidden="false" customHeight="false" outlineLevel="0" collapsed="false">
      <c r="A586" s="22" t="s">
        <v>254</v>
      </c>
      <c r="B586" s="16" t="s">
        <v>255</v>
      </c>
      <c r="C586" s="16"/>
      <c r="D586" s="16"/>
      <c r="E586" s="16"/>
      <c r="F586" s="16"/>
      <c r="G586" s="25"/>
      <c r="H586" s="21" t="str">
        <f aca="false">IFERROR(__xludf.dummyfunction("IF(D586,filter(Productos!AC:AC,Productos!A:A=B586),)"),"")</f>
        <v/>
      </c>
      <c r="K586" s="0" t="n">
        <f aca="false">IF(D586,"{""sku"":"""&amp;B586&amp;""", ""costo"":"&amp;C586&amp;", ""grupo"":"""&amp;A586&amp;""", ""lote"":"&amp;D586&amp;", ""tiempo"":"&amp;E586&amp;", "&amp;F586&amp;", ""vencimiento"":"&amp;G586&amp;IF(I586,", ""precio"":"&amp;I586,)&amp;", ""tipo"":"""&amp;H586&amp;"""},",)</f>
        <v>0</v>
      </c>
    </row>
    <row r="587" customFormat="false" ht="13" hidden="false" customHeight="false" outlineLevel="0" collapsed="false">
      <c r="A587" s="17" t="n">
        <v>9</v>
      </c>
      <c r="B587" s="17" t="n">
        <f aca="false">IFERROR(__xludf.dummyfunction("filter(Productos!$A$2:$A1017,INDIRECT(B586))"),1001)</f>
        <v>1001</v>
      </c>
      <c r="C587" s="24" t="n">
        <f aca="false">IFERROR(__xludf.dummyfunction("filter(Productos!$D$2:$D1017,INDIRECT(B586))"),3000)</f>
        <v>3000</v>
      </c>
      <c r="D587" s="17" t="n">
        <f aca="false">IFERROR(__xludf.dummyfunction("filter(Productos!$K$2:$L1017,INDIRECT(B586))"),10)</f>
        <v>10</v>
      </c>
      <c r="E587" s="17" t="n">
        <f aca="false">IFERROR(__xludf.dummyfunction("""COMPUTED_VALUE"""),240)</f>
        <v>240</v>
      </c>
      <c r="F587" s="16" t="str">
        <f aca="false">IFERROR(__xludf.dummyfunction("filter(Formulas!$C:$C,Formulas!$A:$A=B587)"),"""formula"":null")</f>
        <v>"formula":null</v>
      </c>
      <c r="G587" s="26" t="n">
        <f aca="false">IFERROR(__xludf.dummyfunction("filter(Productos!$H$2:$H1017,INDIRECT(B586))"),720)</f>
        <v>720</v>
      </c>
      <c r="H587" s="21" t="str">
        <f aca="false">IFERROR(__xludf.dummyfunction("IF(D587,filter(Productos!AC:AC,Productos!A:A=B587),)"),"fabrica")</f>
        <v>fabrica</v>
      </c>
      <c r="I587" s="24" t="str">
        <f aca="false">IFERROR(__xludf.dummyfunction("filter(Productos!$E$2:$E1017,INDIRECT(B586))"),"")</f>
        <v/>
      </c>
      <c r="K587" s="0" t="e">
        <f aca="false">IF(D587,"{""sku"":"""&amp;B587&amp;""", ""costo"":"&amp;C587&amp;", ""grupo"":"""&amp;A587&amp;""", ""lote"":"&amp;D587&amp;", ""tiempo"":"&amp;E587&amp;", "&amp;F587&amp;", ""vencimiento"":"&amp;G587&amp;IF(I587,", ""precio"":"&amp;I587,)&amp;", ""tipo"":"""&amp;H587&amp;"""},",)</f>
        <v>#VALUE!</v>
      </c>
    </row>
    <row r="588" customFormat="false" ht="13" hidden="false" customHeight="false" outlineLevel="0" collapsed="false">
      <c r="A588" s="16" t="n">
        <v>9</v>
      </c>
      <c r="B588" s="0" t="n">
        <f aca="false">IFERROR(__xludf.dummyfunction("""COMPUTED_VALUE"""),1002)</f>
        <v>1002</v>
      </c>
      <c r="C588" s="24" t="n">
        <f aca="false">IFERROR(__xludf.dummyfunction("""COMPUTED_VALUE"""),4590)</f>
        <v>4590</v>
      </c>
      <c r="D588" s="0" t="n">
        <f aca="false">IFERROR(__xludf.dummyfunction("""COMPUTED_VALUE"""),10)</f>
        <v>10</v>
      </c>
      <c r="E588" s="0" t="n">
        <f aca="false">IFERROR(__xludf.dummyfunction("""COMPUTED_VALUE"""),300)</f>
        <v>300</v>
      </c>
      <c r="F588" s="0" t="str">
        <f aca="false">IFERROR(__xludf.dummyfunction("filter(Formulas!$C:$C,Formulas!$A:$A=B588)"),"""formula"":null")</f>
        <v>"formula":null</v>
      </c>
      <c r="G588" s="0" t="n">
        <f aca="false">IFERROR(__xludf.dummyfunction("""COMPUTED_VALUE"""),720)</f>
        <v>720</v>
      </c>
      <c r="H588" s="21" t="str">
        <f aca="false">IFERROR(__xludf.dummyfunction("IF(D588,filter(Productos!AC:AC,Productos!A:A=B588),)"),"fabrica")</f>
        <v>fabrica</v>
      </c>
      <c r="I588" s="24" t="str">
        <f aca="false">IFERROR(__xludf.dummyfunction("""COMPUTED_VALUE"""),"")</f>
        <v/>
      </c>
      <c r="K588" s="0" t="e">
        <f aca="false">IF(D588,"{""sku"":"""&amp;B588&amp;""", ""costo"":"&amp;C588&amp;", ""grupo"":"""&amp;A588&amp;""", ""lote"":"&amp;D588&amp;", ""tiempo"":"&amp;E588&amp;", "&amp;F588&amp;", ""vencimiento"":"&amp;G588&amp;IF(I588,", ""precio"":"&amp;I588,)&amp;", ""tipo"":"""&amp;H588&amp;"""},",)</f>
        <v>#VALUE!</v>
      </c>
    </row>
    <row r="589" customFormat="false" ht="13" hidden="false" customHeight="false" outlineLevel="0" collapsed="false">
      <c r="A589" s="17" t="n">
        <v>9</v>
      </c>
      <c r="B589" s="0" t="n">
        <f aca="false">IFERROR(__xludf.dummyfunction("""COMPUTED_VALUE"""),1004)</f>
        <v>1004</v>
      </c>
      <c r="C589" s="24" t="n">
        <f aca="false">IFERROR(__xludf.dummyfunction("""COMPUTED_VALUE"""),2190)</f>
        <v>2190</v>
      </c>
      <c r="D589" s="0" t="n">
        <f aca="false">IFERROR(__xludf.dummyfunction("""COMPUTED_VALUE"""),100)</f>
        <v>100</v>
      </c>
      <c r="E589" s="0" t="n">
        <f aca="false">IFERROR(__xludf.dummyfunction("""COMPUTED_VALUE"""),400)</f>
        <v>400</v>
      </c>
      <c r="F589" s="0" t="str">
        <f aca="false">IFERROR(__xludf.dummyfunction("filter(Formulas!$C:$C,Formulas!$A:$A=B589)"),"""formula"":null")</f>
        <v>"formula":null</v>
      </c>
      <c r="G589" s="0" t="n">
        <f aca="false">IFERROR(__xludf.dummyfunction("""COMPUTED_VALUE"""),720)</f>
        <v>720</v>
      </c>
      <c r="H589" s="21" t="str">
        <f aca="false">IFERROR(__xludf.dummyfunction("IF(D589,filter(Productos!AC:AC,Productos!A:A=B589),)"),"fabrica")</f>
        <v>fabrica</v>
      </c>
      <c r="I589" s="24" t="str">
        <f aca="false">IFERROR(__xludf.dummyfunction("""COMPUTED_VALUE"""),"")</f>
        <v/>
      </c>
      <c r="K589" s="0" t="e">
        <f aca="false">IF(D589,"{""sku"":"""&amp;B589&amp;""", ""costo"":"&amp;C589&amp;", ""grupo"":"""&amp;A589&amp;""", ""lote"":"&amp;D589&amp;", ""tiempo"":"&amp;E589&amp;", "&amp;F589&amp;", ""vencimiento"":"&amp;G589&amp;IF(I589,", ""precio"":"&amp;I589,)&amp;", ""tipo"":"""&amp;H589&amp;"""},",)</f>
        <v>#VALUE!</v>
      </c>
    </row>
    <row r="590" customFormat="false" ht="13" hidden="false" customHeight="false" outlineLevel="0" collapsed="false">
      <c r="A590" s="16" t="n">
        <v>9</v>
      </c>
      <c r="B590" s="0" t="n">
        <f aca="false">IFERROR(__xludf.dummyfunction("""COMPUTED_VALUE"""),1008)</f>
        <v>1008</v>
      </c>
      <c r="C590" s="24" t="n">
        <f aca="false">IFERROR(__xludf.dummyfunction("""COMPUTED_VALUE"""),21990)</f>
        <v>21990</v>
      </c>
      <c r="D590" s="0" t="n">
        <f aca="false">IFERROR(__xludf.dummyfunction("""COMPUTED_VALUE"""),10)</f>
        <v>10</v>
      </c>
      <c r="E590" s="0" t="n">
        <f aca="false">IFERROR(__xludf.dummyfunction("""COMPUTED_VALUE"""),220)</f>
        <v>220</v>
      </c>
      <c r="F590" s="0" t="str">
        <f aca="false">IFERROR(__xludf.dummyfunction("filter(Formulas!$C:$C,Formulas!$A:$A=B590)"),"""formula"":null")</f>
        <v>"formula":null</v>
      </c>
      <c r="G590" s="0" t="n">
        <f aca="false">IFERROR(__xludf.dummyfunction("""COMPUTED_VALUE"""),48)</f>
        <v>48</v>
      </c>
      <c r="H590" s="21" t="str">
        <f aca="false">IFERROR(__xludf.dummyfunction("IF(D590,filter(Productos!AC:AC,Productos!A:A=B590),)"),"fabrica")</f>
        <v>fabrica</v>
      </c>
      <c r="I590" s="24" t="str">
        <f aca="false">IFERROR(__xludf.dummyfunction("""COMPUTED_VALUE"""),"")</f>
        <v/>
      </c>
      <c r="K590" s="0" t="e">
        <f aca="false">IF(D590,"{""sku"":"""&amp;B590&amp;""", ""costo"":"&amp;C590&amp;", ""grupo"":"""&amp;A590&amp;""", ""lote"":"&amp;D590&amp;", ""tiempo"":"&amp;E590&amp;", "&amp;F590&amp;", ""vencimiento"":"&amp;G590&amp;IF(I590,", ""precio"":"&amp;I590,)&amp;", ""tipo"":"""&amp;H590&amp;"""},",)</f>
        <v>#VALUE!</v>
      </c>
    </row>
    <row r="591" customFormat="false" ht="13" hidden="false" customHeight="false" outlineLevel="0" collapsed="false">
      <c r="A591" s="17" t="n">
        <v>9</v>
      </c>
      <c r="B591" s="0" t="n">
        <f aca="false">IFERROR(__xludf.dummyfunction("""COMPUTED_VALUE"""),1009)</f>
        <v>1009</v>
      </c>
      <c r="C591" s="24" t="n">
        <f aca="false">IFERROR(__xludf.dummyfunction("""COMPUTED_VALUE"""),14370)</f>
        <v>14370</v>
      </c>
      <c r="D591" s="0" t="n">
        <f aca="false">IFERROR(__xludf.dummyfunction("""COMPUTED_VALUE"""),3)</f>
        <v>3</v>
      </c>
      <c r="E591" s="0" t="n">
        <f aca="false">IFERROR(__xludf.dummyfunction("""COMPUTED_VALUE"""),400)</f>
        <v>400</v>
      </c>
      <c r="F591" s="0" t="str">
        <f aca="false">IFERROR(__xludf.dummyfunction("filter(Formulas!$C:$C,Formulas!$A:$A=B591)"),"""formula"":null")</f>
        <v>"formula":null</v>
      </c>
      <c r="G591" s="0" t="n">
        <f aca="false">IFERROR(__xludf.dummyfunction("""COMPUTED_VALUE"""),15)</f>
        <v>15</v>
      </c>
      <c r="H591" s="21" t="str">
        <f aca="false">IFERROR(__xludf.dummyfunction("IF(D591,filter(Productos!AC:AC,Productos!A:A=B591),)"),"fabrica")</f>
        <v>fabrica</v>
      </c>
      <c r="I591" s="24" t="str">
        <f aca="false">IFERROR(__xludf.dummyfunction("""COMPUTED_VALUE"""),"")</f>
        <v/>
      </c>
      <c r="K591" s="0" t="e">
        <f aca="false">IF(D591,"{""sku"":"""&amp;B591&amp;""", ""costo"":"&amp;C591&amp;", ""grupo"":"""&amp;A591&amp;""", ""lote"":"&amp;D591&amp;", ""tiempo"":"&amp;E591&amp;", "&amp;F591&amp;", ""vencimiento"":"&amp;G591&amp;IF(I591,", ""precio"":"&amp;I591,)&amp;", ""tipo"":"""&amp;H591&amp;"""},",)</f>
        <v>#VALUE!</v>
      </c>
    </row>
    <row r="592" customFormat="false" ht="13" hidden="false" customHeight="false" outlineLevel="0" collapsed="false">
      <c r="A592" s="16" t="n">
        <v>9</v>
      </c>
      <c r="B592" s="0" t="n">
        <f aca="false">IFERROR(__xludf.dummyfunction("""COMPUTED_VALUE"""),1010)</f>
        <v>1010</v>
      </c>
      <c r="C592" s="24" t="n">
        <f aca="false">IFERROR(__xludf.dummyfunction("""COMPUTED_VALUE"""),2990)</f>
        <v>2990</v>
      </c>
      <c r="D592" s="0" t="n">
        <f aca="false">IFERROR(__xludf.dummyfunction("""COMPUTED_VALUE"""),5)</f>
        <v>5</v>
      </c>
      <c r="E592" s="0" t="n">
        <f aca="false">IFERROR(__xludf.dummyfunction("""COMPUTED_VALUE"""),480)</f>
        <v>480</v>
      </c>
      <c r="F592" s="0" t="str">
        <f aca="false">IFERROR(__xludf.dummyfunction("filter(Formulas!$C:$C,Formulas!$A:$A=B592)"),"""formula"":null")</f>
        <v>"formula":null</v>
      </c>
      <c r="G592" s="0" t="n">
        <f aca="false">IFERROR(__xludf.dummyfunction("""COMPUTED_VALUE"""),30)</f>
        <v>30</v>
      </c>
      <c r="H592" s="21" t="str">
        <f aca="false">IFERROR(__xludf.dummyfunction("IF(D592,filter(Productos!AC:AC,Productos!A:A=B592),)"),"fabrica")</f>
        <v>fabrica</v>
      </c>
      <c r="I592" s="24" t="str">
        <f aca="false">IFERROR(__xludf.dummyfunction("""COMPUTED_VALUE"""),"")</f>
        <v/>
      </c>
      <c r="K592" s="0" t="e">
        <f aca="false">IF(D592,"{""sku"":"""&amp;B592&amp;""", ""costo"":"&amp;C592&amp;", ""grupo"":"""&amp;A592&amp;""", ""lote"":"&amp;D592&amp;", ""tiempo"":"&amp;E592&amp;", "&amp;F592&amp;", ""vencimiento"":"&amp;G592&amp;IF(I592,", ""precio"":"&amp;I592,)&amp;", ""tipo"":"""&amp;H592&amp;"""},",)</f>
        <v>#VALUE!</v>
      </c>
    </row>
    <row r="593" customFormat="false" ht="13" hidden="false" customHeight="false" outlineLevel="0" collapsed="false">
      <c r="A593" s="17" t="n">
        <v>9</v>
      </c>
      <c r="B593" s="0" t="n">
        <f aca="false">IFERROR(__xludf.dummyfunction("""COMPUTED_VALUE"""),1013)</f>
        <v>1013</v>
      </c>
      <c r="C593" s="24" t="n">
        <f aca="false">IFERROR(__xludf.dummyfunction("""COMPUTED_VALUE"""),1400)</f>
        <v>1400</v>
      </c>
      <c r="D593" s="0" t="n">
        <f aca="false">IFERROR(__xludf.dummyfunction("""COMPUTED_VALUE"""),10)</f>
        <v>10</v>
      </c>
      <c r="E593" s="0" t="n">
        <f aca="false">IFERROR(__xludf.dummyfunction("""COMPUTED_VALUE"""),320)</f>
        <v>320</v>
      </c>
      <c r="F593" s="0" t="str">
        <f aca="false">IFERROR(__xludf.dummyfunction("filter(Formulas!$C:$C,Formulas!$A:$A=B593)"),"""formula"":null")</f>
        <v>"formula":null</v>
      </c>
      <c r="G593" s="0" t="n">
        <f aca="false">IFERROR(__xludf.dummyfunction("""COMPUTED_VALUE"""),12)</f>
        <v>12</v>
      </c>
      <c r="H593" s="21" t="str">
        <f aca="false">IFERROR(__xludf.dummyfunction("IF(D593,filter(Productos!AC:AC,Productos!A:A=B593),)"),"fabrica")</f>
        <v>fabrica</v>
      </c>
      <c r="I593" s="24" t="str">
        <f aca="false">IFERROR(__xludf.dummyfunction("""COMPUTED_VALUE"""),"")</f>
        <v/>
      </c>
      <c r="K593" s="0" t="e">
        <f aca="false">IF(D593,"{""sku"":"""&amp;B593&amp;""", ""costo"":"&amp;C593&amp;", ""grupo"":"""&amp;A593&amp;""", ""lote"":"&amp;D593&amp;", ""tiempo"":"&amp;E593&amp;", "&amp;F593&amp;", ""vencimiento"":"&amp;G593&amp;IF(I593,", ""precio"":"&amp;I593,)&amp;", ""tipo"":"""&amp;H593&amp;"""},",)</f>
        <v>#VALUE!</v>
      </c>
    </row>
    <row r="594" customFormat="false" ht="13" hidden="false" customHeight="false" outlineLevel="0" collapsed="false">
      <c r="A594" s="16" t="n">
        <v>9</v>
      </c>
      <c r="B594" s="0" t="n">
        <f aca="false">IFERROR(__xludf.dummyfunction("""COMPUTED_VALUE"""),1016)</f>
        <v>1016</v>
      </c>
      <c r="C594" s="24" t="n">
        <f aca="false">IFERROR(__xludf.dummyfunction("""COMPUTED_VALUE"""),2790)</f>
        <v>2790</v>
      </c>
      <c r="D594" s="0" t="n">
        <f aca="false">IFERROR(__xludf.dummyfunction("""COMPUTED_VALUE"""),8)</f>
        <v>8</v>
      </c>
      <c r="E594" s="0" t="n">
        <f aca="false">IFERROR(__xludf.dummyfunction("""COMPUTED_VALUE"""),600)</f>
        <v>600</v>
      </c>
      <c r="F594" s="0" t="str">
        <f aca="false">IFERROR(__xludf.dummyfunction("filter(Formulas!$C:$C,Formulas!$A:$A=B594)"),"""formula"":null")</f>
        <v>"formula":null</v>
      </c>
      <c r="G594" s="0" t="n">
        <f aca="false">IFERROR(__xludf.dummyfunction("""COMPUTED_VALUE"""),240)</f>
        <v>240</v>
      </c>
      <c r="H594" s="21" t="str">
        <f aca="false">IFERROR(__xludf.dummyfunction("IF(D594,filter(Productos!AC:AC,Productos!A:A=B594),)"),"fabrica")</f>
        <v>fabrica</v>
      </c>
      <c r="I594" s="0" t="str">
        <f aca="false">IFERROR(__xludf.dummyfunction("""COMPUTED_VALUE"""),"")</f>
        <v/>
      </c>
      <c r="K594" s="0" t="e">
        <f aca="false">IF(D594,"{""sku"":"""&amp;B594&amp;""", ""costo"":"&amp;C594&amp;", ""grupo"":"""&amp;A594&amp;""", ""lote"":"&amp;D594&amp;", ""tiempo"":"&amp;E594&amp;", "&amp;F594&amp;", ""vencimiento"":"&amp;G594&amp;IF(I594,", ""precio"":"&amp;I594,)&amp;", ""tipo"":"""&amp;H594&amp;"""},",)</f>
        <v>#VALUE!</v>
      </c>
    </row>
    <row r="595" customFormat="false" ht="13" hidden="false" customHeight="false" outlineLevel="0" collapsed="false">
      <c r="A595" s="17" t="n">
        <v>9</v>
      </c>
      <c r="B595" s="0" t="n">
        <f aca="false">IFERROR(__xludf.dummyfunction("""COMPUTED_VALUE"""),1101)</f>
        <v>1101</v>
      </c>
      <c r="C595" s="24" t="n">
        <f aca="false">IFERROR(__xludf.dummyfunction("""COMPUTED_VALUE"""),500)</f>
        <v>500</v>
      </c>
      <c r="D595" s="0" t="n">
        <f aca="false">IFERROR(__xludf.dummyfunction("""COMPUTED_VALUE"""),10)</f>
        <v>10</v>
      </c>
      <c r="E595" s="0" t="n">
        <f aca="false">IFERROR(__xludf.dummyfunction("""COMPUTED_VALUE"""),40)</f>
        <v>40</v>
      </c>
      <c r="F595" s="0" t="str">
        <f aca="false">IFERROR(__xludf.dummyfunction("filter(Formulas!$C:$C,Formulas!$A:$A=B595)"),"""formula"":[{""sku"":""1001"",""req"":8},{""sku"":""1003"",""req"":3},{""sku"":""1004"",""req"":2},{""sku"":""1002"",""req"":4}]")</f>
        <v>"formula":[{"sku":"1001","req":8},{"sku":"1003","req":3},{"sku":"1004","req":2},{"sku":"1002","req":4}]</v>
      </c>
      <c r="G595" s="0" t="n">
        <f aca="false">IFERROR(__xludf.dummyfunction("""COMPUTED_VALUE"""),3)</f>
        <v>3</v>
      </c>
      <c r="H595" s="21" t="str">
        <f aca="false">IFERROR(__xludf.dummyfunction("IF(D595,filter(Productos!AC:AC,Productos!A:A=B595),)"),"fabrica")</f>
        <v>fabrica</v>
      </c>
      <c r="I595" s="24" t="str">
        <f aca="false">IFERROR(__xludf.dummyfunction("""COMPUTED_VALUE"""),"")</f>
        <v/>
      </c>
      <c r="K595" s="0" t="e">
        <f aca="false">IF(D595,"{""sku"":"""&amp;B595&amp;""", ""costo"":"&amp;C595&amp;", ""grupo"":"""&amp;A595&amp;""", ""lote"":"&amp;D595&amp;", ""tiempo"":"&amp;E595&amp;", "&amp;F595&amp;", ""vencimiento"":"&amp;G595&amp;IF(I595,", ""precio"":"&amp;I595,)&amp;", ""tipo"":"""&amp;H595&amp;"""},",)</f>
        <v>#VALUE!</v>
      </c>
    </row>
    <row r="596" customFormat="false" ht="13" hidden="false" customHeight="false" outlineLevel="0" collapsed="false">
      <c r="A596" s="16" t="n">
        <v>9</v>
      </c>
      <c r="B596" s="0" t="n">
        <f aca="false">IFERROR(__xludf.dummyfunction("""COMPUTED_VALUE"""),1105)</f>
        <v>1105</v>
      </c>
      <c r="C596" s="24" t="n">
        <f aca="false">IFERROR(__xludf.dummyfunction("""COMPUTED_VALUE"""),10)</f>
        <v>10</v>
      </c>
      <c r="D596" s="0" t="n">
        <f aca="false">IFERROR(__xludf.dummyfunction("""COMPUTED_VALUE"""),10)</f>
        <v>10</v>
      </c>
      <c r="E596" s="0" t="n">
        <f aca="false">IFERROR(__xludf.dummyfunction("""COMPUTED_VALUE"""),10)</f>
        <v>10</v>
      </c>
      <c r="F596" s="0" t="str">
        <f aca="false">IFERROR(__xludf.dummyfunction("filter(Formulas!$C:$C,Formulas!$A:$A=B596)"),"""formula"":[{""sku"":""1005"",""req"":1}]")</f>
        <v>"formula":[{"sku":"1005","req":1}]</v>
      </c>
      <c r="G596" s="0" t="n">
        <f aca="false">IFERROR(__xludf.dummyfunction("""COMPUTED_VALUE"""),3)</f>
        <v>3</v>
      </c>
      <c r="H596" s="21" t="str">
        <f aca="false">IFERROR(__xludf.dummyfunction("IF(D596,filter(Productos!AC:AC,Productos!A:A=B596),)"),"fabrica")</f>
        <v>fabrica</v>
      </c>
      <c r="I596" s="24" t="str">
        <f aca="false">IFERROR(__xludf.dummyfunction("""COMPUTED_VALUE"""),"")</f>
        <v/>
      </c>
      <c r="K596" s="0" t="e">
        <f aca="false">IF(D596,"{""sku"":"""&amp;B596&amp;""", ""costo"":"&amp;C596&amp;", ""grupo"":"""&amp;A596&amp;""", ""lote"":"&amp;D596&amp;", ""tiempo"":"&amp;E596&amp;", "&amp;F596&amp;", ""vencimiento"":"&amp;G596&amp;IF(I596,", ""precio"":"&amp;I596,)&amp;", ""tipo"":"""&amp;H596&amp;"""},",)</f>
        <v>#VALUE!</v>
      </c>
    </row>
    <row r="597" customFormat="false" ht="13" hidden="false" customHeight="false" outlineLevel="0" collapsed="false">
      <c r="A597" s="17" t="n">
        <v>9</v>
      </c>
      <c r="B597" s="0" t="n">
        <f aca="false">IFERROR(__xludf.dummyfunction("""COMPUTED_VALUE"""),1106)</f>
        <v>1106</v>
      </c>
      <c r="C597" s="24" t="n">
        <f aca="false">IFERROR(__xludf.dummyfunction("""COMPUTED_VALUE"""),700)</f>
        <v>700</v>
      </c>
      <c r="D597" s="0" t="n">
        <f aca="false">IFERROR(__xludf.dummyfunction("""COMPUTED_VALUE"""),100)</f>
        <v>100</v>
      </c>
      <c r="E597" s="0" t="n">
        <f aca="false">IFERROR(__xludf.dummyfunction("""COMPUTED_VALUE"""),30)</f>
        <v>30</v>
      </c>
      <c r="F597" s="0" t="str">
        <f aca="false">IFERROR(__xludf.dummyfunction("filter(Formulas!$C:$C,Formulas!$A:$A=B597)"),"""formula"":[{""sku"":""1006"",""req"":1}]")</f>
        <v>"formula":[{"sku":"1006","req":1}]</v>
      </c>
      <c r="G597" s="0" t="n">
        <f aca="false">IFERROR(__xludf.dummyfunction("""COMPUTED_VALUE"""),4)</f>
        <v>4</v>
      </c>
      <c r="H597" s="21" t="str">
        <f aca="false">IFERROR(__xludf.dummyfunction("IF(D597,filter(Productos!AC:AC,Productos!A:A=B597),)"),"fabrica")</f>
        <v>fabrica</v>
      </c>
      <c r="I597" s="24" t="str">
        <f aca="false">IFERROR(__xludf.dummyfunction("""COMPUTED_VALUE"""),"")</f>
        <v/>
      </c>
      <c r="K597" s="0" t="e">
        <f aca="false">IF(D597,"{""sku"":"""&amp;B597&amp;""", ""costo"":"&amp;C597&amp;", ""grupo"":"""&amp;A597&amp;""", ""lote"":"&amp;D597&amp;", ""tiempo"":"&amp;E597&amp;", "&amp;F597&amp;", ""vencimiento"":"&amp;G597&amp;IF(I597,", ""precio"":"&amp;I597,)&amp;", ""tipo"":"""&amp;H597&amp;"""},",)</f>
        <v>#VALUE!</v>
      </c>
    </row>
    <row r="598" customFormat="false" ht="13" hidden="false" customHeight="false" outlineLevel="0" collapsed="false">
      <c r="A598" s="16" t="n">
        <v>9</v>
      </c>
      <c r="B598" s="0" t="n">
        <f aca="false">IFERROR(__xludf.dummyfunction("""COMPUTED_VALUE"""),1107)</f>
        <v>1107</v>
      </c>
      <c r="C598" s="24" t="n">
        <f aca="false">IFERROR(__xludf.dummyfunction("""COMPUTED_VALUE"""),10)</f>
        <v>10</v>
      </c>
      <c r="D598" s="0" t="n">
        <f aca="false">IFERROR(__xludf.dummyfunction("""COMPUTED_VALUE"""),11)</f>
        <v>11</v>
      </c>
      <c r="E598" s="0" t="n">
        <f aca="false">IFERROR(__xludf.dummyfunction("""COMPUTED_VALUE"""),20)</f>
        <v>20</v>
      </c>
      <c r="F598" s="0" t="str">
        <f aca="false">IFERROR(__xludf.dummyfunction("filter(Formulas!$C:$C,Formulas!$A:$A=B598)"),"""formula"":[{""sku"":""1007"",""req"":1}]")</f>
        <v>"formula":[{"sku":"1007","req":1}]</v>
      </c>
      <c r="G598" s="0" t="n">
        <f aca="false">IFERROR(__xludf.dummyfunction("""COMPUTED_VALUE"""),2)</f>
        <v>2</v>
      </c>
      <c r="H598" s="21" t="str">
        <f aca="false">IFERROR(__xludf.dummyfunction("IF(D598,filter(Productos!AC:AC,Productos!A:A=B598),)"),"fabrica")</f>
        <v>fabrica</v>
      </c>
      <c r="I598" s="24" t="str">
        <f aca="false">IFERROR(__xludf.dummyfunction("""COMPUTED_VALUE"""),"")</f>
        <v/>
      </c>
      <c r="K598" s="0" t="e">
        <f aca="false">IF(D598,"{""sku"":"""&amp;B598&amp;""", ""costo"":"&amp;C598&amp;", ""grupo"":"""&amp;A598&amp;""", ""lote"":"&amp;D598&amp;", ""tiempo"":"&amp;E598&amp;", "&amp;F598&amp;", ""vencimiento"":"&amp;G598&amp;IF(I598,", ""precio"":"&amp;I598,)&amp;", ""tipo"":"""&amp;H598&amp;"""},",)</f>
        <v>#VALUE!</v>
      </c>
    </row>
    <row r="599" customFormat="false" ht="13" hidden="false" customHeight="false" outlineLevel="0" collapsed="false">
      <c r="A599" s="17" t="n">
        <v>9</v>
      </c>
      <c r="B599" s="0" t="n">
        <f aca="false">IFERROR(__xludf.dummyfunction("""COMPUTED_VALUE"""),1108)</f>
        <v>1108</v>
      </c>
      <c r="C599" s="24" t="n">
        <f aca="false">IFERROR(__xludf.dummyfunction("""COMPUTED_VALUE"""),10)</f>
        <v>10</v>
      </c>
      <c r="D599" s="0" t="n">
        <f aca="false">IFERROR(__xludf.dummyfunction("""COMPUTED_VALUE"""),6)</f>
        <v>6</v>
      </c>
      <c r="E599" s="0" t="n">
        <f aca="false">IFERROR(__xludf.dummyfunction("""COMPUTED_VALUE"""),20)</f>
        <v>20</v>
      </c>
      <c r="F599" s="0" t="str">
        <f aca="false">IFERROR(__xludf.dummyfunction("filter(Formulas!$C:$C,Formulas!$A:$A=B599)"),"""formula"":[{""sku"":""1008"",""req"":1}]")</f>
        <v>"formula":[{"sku":"1008","req":1}]</v>
      </c>
      <c r="G599" s="0" t="n">
        <f aca="false">IFERROR(__xludf.dummyfunction("""COMPUTED_VALUE"""),4)</f>
        <v>4</v>
      </c>
      <c r="H599" s="21" t="str">
        <f aca="false">IFERROR(__xludf.dummyfunction("IF(D599,filter(Productos!AC:AC,Productos!A:A=B599),)"),"fabrica")</f>
        <v>fabrica</v>
      </c>
      <c r="I599" s="24" t="str">
        <f aca="false">IFERROR(__xludf.dummyfunction("""COMPUTED_VALUE"""),"")</f>
        <v/>
      </c>
      <c r="K599" s="0" t="e">
        <f aca="false">IF(D599,"{""sku"":"""&amp;B599&amp;""", ""costo"":"&amp;C599&amp;", ""grupo"":"""&amp;A599&amp;""", ""lote"":"&amp;D599&amp;", ""tiempo"":"&amp;E599&amp;", "&amp;F599&amp;", ""vencimiento"":"&amp;G599&amp;IF(I599,", ""precio"":"&amp;I599,)&amp;", ""tipo"":"""&amp;H599&amp;"""},",)</f>
        <v>#VALUE!</v>
      </c>
    </row>
    <row r="600" customFormat="false" ht="13" hidden="false" customHeight="false" outlineLevel="0" collapsed="false">
      <c r="A600" s="16" t="n">
        <v>9</v>
      </c>
      <c r="B600" s="0" t="n">
        <f aca="false">IFERROR(__xludf.dummyfunction("""COMPUTED_VALUE"""),1109)</f>
        <v>1109</v>
      </c>
      <c r="C600" s="24" t="n">
        <f aca="false">IFERROR(__xludf.dummyfunction("""COMPUTED_VALUE"""),10)</f>
        <v>10</v>
      </c>
      <c r="D600" s="0" t="n">
        <f aca="false">IFERROR(__xludf.dummyfunction("""COMPUTED_VALUE"""),12)</f>
        <v>12</v>
      </c>
      <c r="E600" s="0" t="n">
        <f aca="false">IFERROR(__xludf.dummyfunction("""COMPUTED_VALUE"""),30)</f>
        <v>30</v>
      </c>
      <c r="F600" s="0" t="str">
        <f aca="false">IFERROR(__xludf.dummyfunction("filter(Formulas!$C:$C,Formulas!$A:$A=B600)"),"""formula"":[{""sku"":""1009"",""req"":1}]")</f>
        <v>"formula":[{"sku":"1009","req":1}]</v>
      </c>
      <c r="G600" s="0" t="n">
        <f aca="false">IFERROR(__xludf.dummyfunction("""COMPUTED_VALUE"""),1.5)</f>
        <v>1.5</v>
      </c>
      <c r="H600" s="21" t="str">
        <f aca="false">IFERROR(__xludf.dummyfunction("IF(D600,filter(Productos!AC:AC,Productos!A:A=B600),)"),"fabrica")</f>
        <v>fabrica</v>
      </c>
      <c r="I600" s="24" t="str">
        <f aca="false">IFERROR(__xludf.dummyfunction("""COMPUTED_VALUE"""),"")</f>
        <v/>
      </c>
      <c r="K600" s="0" t="e">
        <f aca="false">IF(D600,"{""sku"":"""&amp;B600&amp;""", ""costo"":"&amp;C600&amp;", ""grupo"":"""&amp;A600&amp;""", ""lote"":"&amp;D600&amp;", ""tiempo"":"&amp;E600&amp;", "&amp;F600&amp;", ""vencimiento"":"&amp;G600&amp;IF(I600,", ""precio"":"&amp;I600,)&amp;", ""tipo"":"""&amp;H600&amp;"""},",)</f>
        <v>#VALUE!</v>
      </c>
    </row>
    <row r="601" customFormat="false" ht="13" hidden="false" customHeight="false" outlineLevel="0" collapsed="false">
      <c r="A601" s="17" t="n">
        <v>9</v>
      </c>
      <c r="B601" s="0" t="n">
        <f aca="false">IFERROR(__xludf.dummyfunction("""COMPUTED_VALUE"""),1110)</f>
        <v>1110</v>
      </c>
      <c r="C601" s="24" t="n">
        <f aca="false">IFERROR(__xludf.dummyfunction("""COMPUTED_VALUE"""),10)</f>
        <v>10</v>
      </c>
      <c r="D601" s="0" t="n">
        <f aca="false">IFERROR(__xludf.dummyfunction("""COMPUTED_VALUE"""),6)</f>
        <v>6</v>
      </c>
      <c r="E601" s="0" t="n">
        <f aca="false">IFERROR(__xludf.dummyfunction("""COMPUTED_VALUE"""),10)</f>
        <v>10</v>
      </c>
      <c r="F601" s="0" t="str">
        <f aca="false">IFERROR(__xludf.dummyfunction("filter(Formulas!$C:$C,Formulas!$A:$A=B601)"),"""formula"":[{""sku"":""1010"",""req"":1}]")</f>
        <v>"formula":[{"sku":"1010","req":1}]</v>
      </c>
      <c r="G601" s="0" t="n">
        <f aca="false">IFERROR(__xludf.dummyfunction("""COMPUTED_VALUE"""),2)</f>
        <v>2</v>
      </c>
      <c r="H601" s="21" t="str">
        <f aca="false">IFERROR(__xludf.dummyfunction("IF(D601,filter(Productos!AC:AC,Productos!A:A=B601),)"),"fabrica")</f>
        <v>fabrica</v>
      </c>
      <c r="I601" s="24" t="str">
        <f aca="false">IFERROR(__xludf.dummyfunction("""COMPUTED_VALUE"""),"")</f>
        <v/>
      </c>
      <c r="K601" s="0" t="e">
        <f aca="false">IF(D601,"{""sku"":"""&amp;B601&amp;""", ""costo"":"&amp;C601&amp;", ""grupo"":"""&amp;A601&amp;""", ""lote"":"&amp;D601&amp;", ""tiempo"":"&amp;E601&amp;", "&amp;F601&amp;", ""vencimiento"":"&amp;G601&amp;IF(I601,", ""precio"":"&amp;I601,)&amp;", ""tipo"":"""&amp;H601&amp;"""},",)</f>
        <v>#VALUE!</v>
      </c>
    </row>
    <row r="602" customFormat="false" ht="13" hidden="false" customHeight="false" outlineLevel="0" collapsed="false">
      <c r="A602" s="16" t="n">
        <v>9</v>
      </c>
      <c r="B602" s="0" t="n">
        <f aca="false">IFERROR(__xludf.dummyfunction("""COMPUTED_VALUE"""),1111)</f>
        <v>1111</v>
      </c>
      <c r="C602" s="24" t="n">
        <f aca="false">IFERROR(__xludf.dummyfunction("""COMPUTED_VALUE"""),120)</f>
        <v>120</v>
      </c>
      <c r="D602" s="0" t="n">
        <f aca="false">IFERROR(__xludf.dummyfunction("""COMPUTED_VALUE"""),2)</f>
        <v>2</v>
      </c>
      <c r="E602" s="0" t="n">
        <f aca="false">IFERROR(__xludf.dummyfunction("""COMPUTED_VALUE"""),30)</f>
        <v>30</v>
      </c>
      <c r="F602" s="0" t="str">
        <f aca="false">IFERROR(__xludf.dummyfunction("filter(Formulas!$C:$C,Formulas!$A:$A=B602)"),"""formula"":[{""sku"":""1011"",""req"":2}]")</f>
        <v>"formula":[{"sku":"1011","req":2}]</v>
      </c>
      <c r="G602" s="0" t="n">
        <f aca="false">IFERROR(__xludf.dummyfunction("""COMPUTED_VALUE"""),12)</f>
        <v>12</v>
      </c>
      <c r="H602" s="21" t="str">
        <f aca="false">IFERROR(__xludf.dummyfunction("IF(D602,filter(Productos!AC:AC,Productos!A:A=B602),)"),"fabrica")</f>
        <v>fabrica</v>
      </c>
      <c r="I602" s="24" t="str">
        <f aca="false">IFERROR(__xludf.dummyfunction("""COMPUTED_VALUE"""),"")</f>
        <v/>
      </c>
      <c r="K602" s="0" t="e">
        <f aca="false">IF(D602,"{""sku"":"""&amp;B602&amp;""", ""costo"":"&amp;C602&amp;", ""grupo"":"""&amp;A602&amp;""", ""lote"":"&amp;D602&amp;", ""tiempo"":"&amp;E602&amp;", "&amp;F602&amp;", ""vencimiento"":"&amp;G602&amp;IF(I602,", ""precio"":"&amp;I602,)&amp;", ""tipo"":"""&amp;H602&amp;"""},",)</f>
        <v>#VALUE!</v>
      </c>
    </row>
    <row r="603" customFormat="false" ht="13" hidden="false" customHeight="false" outlineLevel="0" collapsed="false">
      <c r="A603" s="17" t="n">
        <v>9</v>
      </c>
      <c r="B603" s="0" t="n">
        <f aca="false">IFERROR(__xludf.dummyfunction("""COMPUTED_VALUE"""),1112)</f>
        <v>1112</v>
      </c>
      <c r="C603" s="24" t="n">
        <f aca="false">IFERROR(__xludf.dummyfunction("""COMPUTED_VALUE"""),10)</f>
        <v>10</v>
      </c>
      <c r="D603" s="0" t="n">
        <f aca="false">IFERROR(__xludf.dummyfunction("""COMPUTED_VALUE"""),20)</f>
        <v>20</v>
      </c>
      <c r="E603" s="0" t="n">
        <f aca="false">IFERROR(__xludf.dummyfunction("""COMPUTED_VALUE"""),10)</f>
        <v>10</v>
      </c>
      <c r="F603" s="0" t="str">
        <f aca="false">IFERROR(__xludf.dummyfunction("filter(Formulas!$C:$C,Formulas!$A:$A=B603)"),"""formula"":[{""sku"":""1012"",""req"":1}]")</f>
        <v>"formula":[{"sku":"1012","req":1}]</v>
      </c>
      <c r="G603" s="0" t="n">
        <f aca="false">IFERROR(__xludf.dummyfunction("""COMPUTED_VALUE"""),24)</f>
        <v>24</v>
      </c>
      <c r="H603" s="21" t="str">
        <f aca="false">IFERROR(__xludf.dummyfunction("IF(D603,filter(Productos!AC:AC,Productos!A:A=B603),)"),"fabrica")</f>
        <v>fabrica</v>
      </c>
      <c r="I603" s="24" t="str">
        <f aca="false">IFERROR(__xludf.dummyfunction("""COMPUTED_VALUE"""),"")</f>
        <v/>
      </c>
      <c r="K603" s="0" t="e">
        <f aca="false">IF(D603,"{""sku"":"""&amp;B603&amp;""", ""costo"":"&amp;C603&amp;", ""grupo"":"""&amp;A603&amp;""", ""lote"":"&amp;D603&amp;", ""tiempo"":"&amp;E603&amp;", "&amp;F603&amp;", ""vencimiento"":"&amp;G603&amp;IF(I603,", ""precio"":"&amp;I603,)&amp;", ""tipo"":"""&amp;H603&amp;"""},",)</f>
        <v>#VALUE!</v>
      </c>
    </row>
    <row r="604" customFormat="false" ht="13" hidden="false" customHeight="false" outlineLevel="0" collapsed="false">
      <c r="A604" s="16" t="n">
        <v>9</v>
      </c>
      <c r="B604" s="0" t="n">
        <f aca="false">IFERROR(__xludf.dummyfunction("""COMPUTED_VALUE"""),1114)</f>
        <v>1114</v>
      </c>
      <c r="C604" s="24" t="n">
        <f aca="false">IFERROR(__xludf.dummyfunction("""COMPUTED_VALUE"""),10)</f>
        <v>10</v>
      </c>
      <c r="D604" s="0" t="n">
        <f aca="false">IFERROR(__xludf.dummyfunction("""COMPUTED_VALUE"""),4)</f>
        <v>4</v>
      </c>
      <c r="E604" s="0" t="n">
        <f aca="false">IFERROR(__xludf.dummyfunction("""COMPUTED_VALUE"""),10)</f>
        <v>10</v>
      </c>
      <c r="F604" s="0" t="str">
        <f aca="false">IFERROR(__xludf.dummyfunction("filter(Formulas!$C:$C,Formulas!$A:$A=B604)"),"""formula"":[{""sku"":""1014"",""req"":1}]")</f>
        <v>"formula":[{"sku":"1014","req":1}]</v>
      </c>
      <c r="G604" s="0" t="n">
        <f aca="false">IFERROR(__xludf.dummyfunction("""COMPUTED_VALUE"""),2)</f>
        <v>2</v>
      </c>
      <c r="H604" s="21" t="str">
        <f aca="false">IFERROR(__xludf.dummyfunction("IF(D604,filter(Productos!AC:AC,Productos!A:A=B604),)"),"fabrica")</f>
        <v>fabrica</v>
      </c>
      <c r="I604" s="24" t="str">
        <f aca="false">IFERROR(__xludf.dummyfunction("""COMPUTED_VALUE"""),"")</f>
        <v/>
      </c>
      <c r="K604" s="0" t="e">
        <f aca="false">IF(D604,"{""sku"":"""&amp;B604&amp;""", ""costo"":"&amp;C604&amp;", ""grupo"":"""&amp;A604&amp;""", ""lote"":"&amp;D604&amp;", ""tiempo"":"&amp;E604&amp;", "&amp;F604&amp;", ""vencimiento"":"&amp;G604&amp;IF(I604,", ""precio"":"&amp;I604,)&amp;", ""tipo"":"""&amp;H604&amp;"""},",)</f>
        <v>#VALUE!</v>
      </c>
    </row>
    <row r="605" customFormat="false" ht="13" hidden="false" customHeight="false" outlineLevel="0" collapsed="false">
      <c r="A605" s="17" t="n">
        <v>9</v>
      </c>
      <c r="B605" s="0" t="n">
        <f aca="false">IFERROR(__xludf.dummyfunction("""COMPUTED_VALUE"""),1115)</f>
        <v>1115</v>
      </c>
      <c r="C605" s="24" t="n">
        <f aca="false">IFERROR(__xludf.dummyfunction("""COMPUTED_VALUE"""),10)</f>
        <v>10</v>
      </c>
      <c r="D605" s="0" t="n">
        <f aca="false">IFERROR(__xludf.dummyfunction("""COMPUTED_VALUE"""),8)</f>
        <v>8</v>
      </c>
      <c r="E605" s="0" t="n">
        <f aca="false">IFERROR(__xludf.dummyfunction("""COMPUTED_VALUE"""),10)</f>
        <v>10</v>
      </c>
      <c r="F605" s="0" t="str">
        <f aca="false">IFERROR(__xludf.dummyfunction("filter(Formulas!$C:$C,Formulas!$A:$A=B605)"),"""formula"":[{""sku"":""1015"",""req"":2}]")</f>
        <v>"formula":[{"sku":"1015","req":2}]</v>
      </c>
      <c r="G605" s="0" t="n">
        <f aca="false">IFERROR(__xludf.dummyfunction("""COMPUTED_VALUE"""),3)</f>
        <v>3</v>
      </c>
      <c r="H605" s="21" t="str">
        <f aca="false">IFERROR(__xludf.dummyfunction("IF(D605,filter(Productos!AC:AC,Productos!A:A=B605),)"),"fabrica")</f>
        <v>fabrica</v>
      </c>
      <c r="I605" s="24" t="str">
        <f aca="false">IFERROR(__xludf.dummyfunction("""COMPUTED_VALUE"""),"")</f>
        <v/>
      </c>
      <c r="K605" s="0" t="e">
        <f aca="false">IF(D605,"{""sku"":"""&amp;B605&amp;""", ""costo"":"&amp;C605&amp;", ""grupo"":"""&amp;A605&amp;""", ""lote"":"&amp;D605&amp;", ""tiempo"":"&amp;E605&amp;", "&amp;F605&amp;", ""vencimiento"":"&amp;G605&amp;IF(I605,", ""precio"":"&amp;I605,)&amp;", ""tipo"":"""&amp;H605&amp;"""},",)</f>
        <v>#VALUE!</v>
      </c>
    </row>
    <row r="606" customFormat="false" ht="13" hidden="false" customHeight="false" outlineLevel="0" collapsed="false">
      <c r="A606" s="16" t="n">
        <v>9</v>
      </c>
      <c r="B606" s="0" t="n">
        <f aca="false">IFERROR(__xludf.dummyfunction("""COMPUTED_VALUE"""),1116)</f>
        <v>1116</v>
      </c>
      <c r="C606" s="24" t="n">
        <f aca="false">IFERROR(__xludf.dummyfunction("""COMPUTED_VALUE"""),10)</f>
        <v>10</v>
      </c>
      <c r="D606" s="0" t="n">
        <f aca="false">IFERROR(__xludf.dummyfunction("""COMPUTED_VALUE"""),10)</f>
        <v>10</v>
      </c>
      <c r="E606" s="0" t="n">
        <f aca="false">IFERROR(__xludf.dummyfunction("""COMPUTED_VALUE"""),40)</f>
        <v>40</v>
      </c>
      <c r="F606" s="0" t="str">
        <f aca="false">IFERROR(__xludf.dummyfunction("filter(Formulas!$C:$C,Formulas!$A:$A=B606)"),"""formula"":[{""sku"":""1016"",""req"":11}]")</f>
        <v>"formula":[{"sku":"1016","req":11}]</v>
      </c>
      <c r="G606" s="0" t="n">
        <f aca="false">IFERROR(__xludf.dummyfunction("""COMPUTED_VALUE"""),24)</f>
        <v>24</v>
      </c>
      <c r="H606" s="21" t="str">
        <f aca="false">IFERROR(__xludf.dummyfunction("IF(D606,filter(Productos!AC:AC,Productos!A:A=B606),)"),"fabrica")</f>
        <v>fabrica</v>
      </c>
      <c r="I606" s="0" t="str">
        <f aca="false">IFERROR(__xludf.dummyfunction("""COMPUTED_VALUE"""),"")</f>
        <v/>
      </c>
      <c r="K606" s="0" t="e">
        <f aca="false">IF(D606,"{""sku"":"""&amp;B606&amp;""", ""costo"":"&amp;C606&amp;", ""grupo"":"""&amp;A606&amp;""", ""lote"":"&amp;D606&amp;", ""tiempo"":"&amp;E606&amp;", "&amp;F606&amp;", ""vencimiento"":"&amp;G606&amp;IF(I606,", ""precio"":"&amp;I606,)&amp;", ""tipo"":"""&amp;H606&amp;"""},",)</f>
        <v>#VALUE!</v>
      </c>
    </row>
    <row r="607" customFormat="false" ht="13" hidden="false" customHeight="false" outlineLevel="0" collapsed="false">
      <c r="A607" s="17" t="n">
        <v>9</v>
      </c>
      <c r="B607" s="0" t="n">
        <f aca="false">IFERROR(__xludf.dummyfunction("""COMPUTED_VALUE"""),1201)</f>
        <v>1201</v>
      </c>
      <c r="C607" s="24" t="n">
        <f aca="false">IFERROR(__xludf.dummyfunction("""COMPUTED_VALUE"""),10)</f>
        <v>10</v>
      </c>
      <c r="D607" s="0" t="n">
        <f aca="false">IFERROR(__xludf.dummyfunction("""COMPUTED_VALUE"""),10)</f>
        <v>10</v>
      </c>
      <c r="E607" s="0" t="n">
        <f aca="false">IFERROR(__xludf.dummyfunction("""COMPUTED_VALUE"""),10)</f>
        <v>10</v>
      </c>
      <c r="F607" s="0" t="str">
        <f aca="false">IFERROR(__xludf.dummyfunction("filter(Formulas!$C:$C,Formulas!$A:$A=B607)"),"""formula"":[{""sku"":""1101"",""req"":1}]")</f>
        <v>"formula":[{"sku":"1101","req":1}]</v>
      </c>
      <c r="G607" s="0" t="n">
        <f aca="false">IFERROR(__xludf.dummyfunction("""COMPUTED_VALUE"""),2)</f>
        <v>2</v>
      </c>
      <c r="H607" s="21" t="str">
        <f aca="false">IFERROR(__xludf.dummyfunction("IF(D607,filter(Productos!AC:AC,Productos!A:A=B607),)"),"fabrica")</f>
        <v>fabrica</v>
      </c>
      <c r="I607" s="24" t="str">
        <f aca="false">IFERROR(__xludf.dummyfunction("""COMPUTED_VALUE"""),"")</f>
        <v/>
      </c>
      <c r="K607" s="0" t="e">
        <f aca="false">IF(D607,"{""sku"":"""&amp;B607&amp;""", ""costo"":"&amp;C607&amp;", ""grupo"":"""&amp;A607&amp;""", ""lote"":"&amp;D607&amp;", ""tiempo"":"&amp;E607&amp;", "&amp;F607&amp;", ""vencimiento"":"&amp;G607&amp;IF(I607,", ""precio"":"&amp;I607,)&amp;", ""tipo"":"""&amp;H607&amp;"""},",)</f>
        <v>#VALUE!</v>
      </c>
    </row>
    <row r="608" customFormat="false" ht="13" hidden="false" customHeight="false" outlineLevel="0" collapsed="false">
      <c r="A608" s="16" t="n">
        <v>9</v>
      </c>
      <c r="B608" s="0" t="n">
        <f aca="false">IFERROR(__xludf.dummyfunction("""COMPUTED_VALUE"""),1207)</f>
        <v>1207</v>
      </c>
      <c r="C608" s="24" t="n">
        <f aca="false">IFERROR(__xludf.dummyfunction("""COMPUTED_VALUE"""),30)</f>
        <v>30</v>
      </c>
      <c r="D608" s="0" t="n">
        <f aca="false">IFERROR(__xludf.dummyfunction("""COMPUTED_VALUE"""),12)</f>
        <v>12</v>
      </c>
      <c r="E608" s="0" t="n">
        <f aca="false">IFERROR(__xludf.dummyfunction("""COMPUTED_VALUE"""),20)</f>
        <v>20</v>
      </c>
      <c r="F608" s="0" t="str">
        <f aca="false">IFERROR(__xludf.dummyfunction("filter(Formulas!$C:$C,Formulas!$A:$A=B608)"),"""formula"":[{""sku"":""1007"",""req"":1}]")</f>
        <v>"formula":[{"sku":"1007","req":1}]</v>
      </c>
      <c r="G608" s="0" t="n">
        <f aca="false">IFERROR(__xludf.dummyfunction("""COMPUTED_VALUE"""),2)</f>
        <v>2</v>
      </c>
      <c r="H608" s="21" t="str">
        <f aca="false">IFERROR(__xludf.dummyfunction("IF(D608,filter(Productos!AC:AC,Productos!A:A=B608),)"),"fabrica")</f>
        <v>fabrica</v>
      </c>
      <c r="I608" s="24" t="str">
        <f aca="false">IFERROR(__xludf.dummyfunction("""COMPUTED_VALUE"""),"")</f>
        <v/>
      </c>
      <c r="K608" s="0" t="e">
        <f aca="false">IF(D608,"{""sku"":"""&amp;B608&amp;""", ""costo"":"&amp;C608&amp;", ""grupo"":"""&amp;A608&amp;""", ""lote"":"&amp;D608&amp;", ""tiempo"":"&amp;E608&amp;", "&amp;F608&amp;", ""vencimiento"":"&amp;G608&amp;IF(I608,", ""precio"":"&amp;I608,)&amp;", ""tipo"":"""&amp;H608&amp;"""},",)</f>
        <v>#VALUE!</v>
      </c>
    </row>
    <row r="609" customFormat="false" ht="13" hidden="false" customHeight="false" outlineLevel="0" collapsed="false">
      <c r="A609" s="17" t="n">
        <v>9</v>
      </c>
      <c r="B609" s="0" t="n">
        <f aca="false">IFERROR(__xludf.dummyfunction("""COMPUTED_VALUE"""),1209)</f>
        <v>1209</v>
      </c>
      <c r="C609" s="24" t="n">
        <f aca="false">IFERROR(__xludf.dummyfunction("""COMPUTED_VALUE"""),30)</f>
        <v>30</v>
      </c>
      <c r="D609" s="0" t="n">
        <f aca="false">IFERROR(__xludf.dummyfunction("""COMPUTED_VALUE"""),14)</f>
        <v>14</v>
      </c>
      <c r="E609" s="0" t="n">
        <f aca="false">IFERROR(__xludf.dummyfunction("""COMPUTED_VALUE"""),30)</f>
        <v>30</v>
      </c>
      <c r="F609" s="0" t="str">
        <f aca="false">IFERROR(__xludf.dummyfunction("filter(Formulas!$C:$C,Formulas!$A:$A=B609)"),"""formula"":[{""sku"":""1009"",""req"":1}]")</f>
        <v>"formula":[{"sku":"1009","req":1}]</v>
      </c>
      <c r="G609" s="0" t="n">
        <f aca="false">IFERROR(__xludf.dummyfunction("""COMPUTED_VALUE"""),1.5)</f>
        <v>1.5</v>
      </c>
      <c r="H609" s="21" t="str">
        <f aca="false">IFERROR(__xludf.dummyfunction("IF(D609,filter(Productos!AC:AC,Productos!A:A=B609),)"),"fabrica")</f>
        <v>fabrica</v>
      </c>
      <c r="I609" s="24" t="str">
        <f aca="false">IFERROR(__xludf.dummyfunction("""COMPUTED_VALUE"""),"")</f>
        <v/>
      </c>
      <c r="K609" s="0" t="e">
        <f aca="false">IF(D609,"{""sku"":"""&amp;B609&amp;""", ""costo"":"&amp;C609&amp;", ""grupo"":"""&amp;A609&amp;""", ""lote"":"&amp;D609&amp;", ""tiempo"":"&amp;E609&amp;", "&amp;F609&amp;", ""vencimiento"":"&amp;G609&amp;IF(I609,", ""precio"":"&amp;I609,)&amp;", ""tipo"":"""&amp;H609&amp;"""},",)</f>
        <v>#VALUE!</v>
      </c>
    </row>
    <row r="610" customFormat="false" ht="13" hidden="false" customHeight="false" outlineLevel="0" collapsed="false">
      <c r="A610" s="16" t="n">
        <v>9</v>
      </c>
      <c r="B610" s="0" t="n">
        <f aca="false">IFERROR(__xludf.dummyfunction("""COMPUTED_VALUE"""),1210)</f>
        <v>1210</v>
      </c>
      <c r="C610" s="24" t="n">
        <f aca="false">IFERROR(__xludf.dummyfunction("""COMPUTED_VALUE"""),10)</f>
        <v>10</v>
      </c>
      <c r="D610" s="0" t="n">
        <f aca="false">IFERROR(__xludf.dummyfunction("""COMPUTED_VALUE"""),9)</f>
        <v>9</v>
      </c>
      <c r="E610" s="0" t="n">
        <f aca="false">IFERROR(__xludf.dummyfunction("""COMPUTED_VALUE"""),10)</f>
        <v>10</v>
      </c>
      <c r="F610" s="0" t="str">
        <f aca="false">IFERROR(__xludf.dummyfunction("filter(Formulas!$C:$C,Formulas!$A:$A=B610)"),"""formula"":[{""sku"":""1010"",""req"":1}]")</f>
        <v>"formula":[{"sku":"1010","req":1}]</v>
      </c>
      <c r="G610" s="0" t="n">
        <f aca="false">IFERROR(__xludf.dummyfunction("""COMPUTED_VALUE"""),2.3)</f>
        <v>2.3</v>
      </c>
      <c r="H610" s="21" t="str">
        <f aca="false">IFERROR(__xludf.dummyfunction("IF(D610,filter(Productos!AC:AC,Productos!A:A=B610),)"),"fabrica")</f>
        <v>fabrica</v>
      </c>
      <c r="I610" s="24" t="str">
        <f aca="false">IFERROR(__xludf.dummyfunction("""COMPUTED_VALUE"""),"")</f>
        <v/>
      </c>
      <c r="K610" s="0" t="e">
        <f aca="false">IF(D610,"{""sku"":"""&amp;B610&amp;""", ""costo"":"&amp;C610&amp;", ""grupo"":"""&amp;A610&amp;""", ""lote"":"&amp;D610&amp;", ""tiempo"":"&amp;E610&amp;", "&amp;F610&amp;", ""vencimiento"":"&amp;G610&amp;IF(I610,", ""precio"":"&amp;I610,)&amp;", ""tipo"":"""&amp;H610&amp;"""},",)</f>
        <v>#VALUE!</v>
      </c>
    </row>
    <row r="611" customFormat="false" ht="13" hidden="false" customHeight="false" outlineLevel="0" collapsed="false">
      <c r="A611" s="17" t="n">
        <v>9</v>
      </c>
      <c r="B611" s="0" t="n">
        <f aca="false">IFERROR(__xludf.dummyfunction("""COMPUTED_VALUE"""),1211)</f>
        <v>1211</v>
      </c>
      <c r="C611" s="24" t="n">
        <f aca="false">IFERROR(__xludf.dummyfunction("""COMPUTED_VALUE"""),10)</f>
        <v>10</v>
      </c>
      <c r="D611" s="0" t="n">
        <f aca="false">IFERROR(__xludf.dummyfunction("""COMPUTED_VALUE"""),10)</f>
        <v>10</v>
      </c>
      <c r="E611" s="0" t="n">
        <f aca="false">IFERROR(__xludf.dummyfunction("""COMPUTED_VALUE"""),10)</f>
        <v>10</v>
      </c>
      <c r="F611" s="0" t="str">
        <f aca="false">IFERROR(__xludf.dummyfunction("filter(Formulas!$C:$C,Formulas!$A:$A=B611)"),"""formula"":[{""sku"":""1111"",""req"":1}]")</f>
        <v>"formula":[{"sku":"1111","req":1}]</v>
      </c>
      <c r="G611" s="0" t="n">
        <f aca="false">IFERROR(__xludf.dummyfunction("""COMPUTED_VALUE"""),12)</f>
        <v>12</v>
      </c>
      <c r="H611" s="21" t="str">
        <f aca="false">IFERROR(__xludf.dummyfunction("IF(D611,filter(Productos!AC:AC,Productos!A:A=B611),)"),"fabrica")</f>
        <v>fabrica</v>
      </c>
      <c r="I611" s="24" t="str">
        <f aca="false">IFERROR(__xludf.dummyfunction("""COMPUTED_VALUE"""),"")</f>
        <v/>
      </c>
      <c r="K611" s="0" t="e">
        <f aca="false">IF(D611,"{""sku"":"""&amp;B611&amp;""", ""costo"":"&amp;C611&amp;", ""grupo"":"""&amp;A611&amp;""", ""lote"":"&amp;D611&amp;", ""tiempo"":"&amp;E611&amp;", "&amp;F611&amp;", ""vencimiento"":"&amp;G611&amp;IF(I611,", ""precio"":"&amp;I611,)&amp;", ""tipo"":"""&amp;H611&amp;"""},",)</f>
        <v>#VALUE!</v>
      </c>
    </row>
    <row r="612" customFormat="false" ht="13" hidden="false" customHeight="false" outlineLevel="0" collapsed="false">
      <c r="A612" s="16" t="n">
        <v>9</v>
      </c>
      <c r="B612" s="0" t="n">
        <f aca="false">IFERROR(__xludf.dummyfunction("""COMPUTED_VALUE"""),1215)</f>
        <v>1215</v>
      </c>
      <c r="C612" s="24" t="n">
        <f aca="false">IFERROR(__xludf.dummyfunction("""COMPUTED_VALUE"""),0)</f>
        <v>0</v>
      </c>
      <c r="D612" s="0" t="n">
        <f aca="false">IFERROR(__xludf.dummyfunction("""COMPUTED_VALUE"""),8)</f>
        <v>8</v>
      </c>
      <c r="E612" s="0" t="n">
        <f aca="false">IFERROR(__xludf.dummyfunction("""COMPUTED_VALUE"""),10)</f>
        <v>10</v>
      </c>
      <c r="F612" s="0" t="str">
        <f aca="false">IFERROR(__xludf.dummyfunction("filter(Formulas!$C:$C,Formulas!$A:$A=B612)"),"""formula"":[{""sku"":""1015"",""req"":4}]")</f>
        <v>"formula":[{"sku":"1015","req":4}]</v>
      </c>
      <c r="G612" s="0" t="n">
        <f aca="false">IFERROR(__xludf.dummyfunction("""COMPUTED_VALUE"""),3)</f>
        <v>3</v>
      </c>
      <c r="H612" s="21" t="str">
        <f aca="false">IFERROR(__xludf.dummyfunction("IF(D612,filter(Productos!AC:AC,Productos!A:A=B612),)"),"fabrica")</f>
        <v>fabrica</v>
      </c>
      <c r="I612" s="24" t="str">
        <f aca="false">IFERROR(__xludf.dummyfunction("""COMPUTED_VALUE"""),"")</f>
        <v/>
      </c>
      <c r="K612" s="0" t="e">
        <f aca="false">IF(D612,"{""sku"":"""&amp;B612&amp;""", ""costo"":"&amp;C612&amp;", ""grupo"":"""&amp;A612&amp;""", ""lote"":"&amp;D612&amp;", ""tiempo"":"&amp;E612&amp;", "&amp;F612&amp;", ""vencimiento"":"&amp;G612&amp;IF(I612,", ""precio"":"&amp;I612,)&amp;", ""tipo"":"""&amp;H612&amp;"""},",)</f>
        <v>#VALUE!</v>
      </c>
    </row>
    <row r="613" customFormat="false" ht="13" hidden="false" customHeight="false" outlineLevel="0" collapsed="false">
      <c r="A613" s="17" t="n">
        <v>9</v>
      </c>
      <c r="B613" s="0" t="n">
        <f aca="false">IFERROR(__xludf.dummyfunction("""COMPUTED_VALUE"""),1216)</f>
        <v>1216</v>
      </c>
      <c r="C613" s="24" t="n">
        <f aca="false">IFERROR(__xludf.dummyfunction("""COMPUTED_VALUE"""),10)</f>
        <v>10</v>
      </c>
      <c r="D613" s="0" t="n">
        <f aca="false">IFERROR(__xludf.dummyfunction("""COMPUTED_VALUE"""),10)</f>
        <v>10</v>
      </c>
      <c r="E613" s="0" t="n">
        <f aca="false">IFERROR(__xludf.dummyfunction("""COMPUTED_VALUE"""),30)</f>
        <v>30</v>
      </c>
      <c r="F613" s="0" t="str">
        <f aca="false">IFERROR(__xludf.dummyfunction("filter(Formulas!$C:$C,Formulas!$A:$A=B613)"),"""formula"":[{""sku"":""1016"",""req"":2}]")</f>
        <v>"formula":[{"sku":"1016","req":2}]</v>
      </c>
      <c r="G613" s="0" t="n">
        <f aca="false">IFERROR(__xludf.dummyfunction("""COMPUTED_VALUE"""),24)</f>
        <v>24</v>
      </c>
      <c r="H613" s="21" t="str">
        <f aca="false">IFERROR(__xludf.dummyfunction("IF(D613,filter(Productos!AC:AC,Productos!A:A=B613),)"),"fabrica")</f>
        <v>fabrica</v>
      </c>
      <c r="I613" s="0" t="str">
        <f aca="false">IFERROR(__xludf.dummyfunction("""COMPUTED_VALUE"""),"")</f>
        <v/>
      </c>
      <c r="K613" s="0" t="e">
        <f aca="false">IF(D613,"{""sku"":"""&amp;B613&amp;""", ""costo"":"&amp;C613&amp;", ""grupo"":"""&amp;A613&amp;""", ""lote"":"&amp;D613&amp;", ""tiempo"":"&amp;E613&amp;", "&amp;F613&amp;", ""vencimiento"":"&amp;G613&amp;IF(I613,", ""precio"":"&amp;I613,)&amp;", ""tipo"":"""&amp;H613&amp;"""},",)</f>
        <v>#VALUE!</v>
      </c>
    </row>
    <row r="614" customFormat="false" ht="13" hidden="false" customHeight="false" outlineLevel="0" collapsed="false">
      <c r="A614" s="16" t="n">
        <v>9</v>
      </c>
      <c r="B614" s="0" t="n">
        <f aca="false">IFERROR(__xludf.dummyfunction("""COMPUTED_VALUE"""),1301)</f>
        <v>1301</v>
      </c>
      <c r="C614" s="24" t="n">
        <f aca="false">IFERROR(__xludf.dummyfunction("""COMPUTED_VALUE"""),10)</f>
        <v>10</v>
      </c>
      <c r="D614" s="0" t="n">
        <f aca="false">IFERROR(__xludf.dummyfunction("""COMPUTED_VALUE"""),5)</f>
        <v>5</v>
      </c>
      <c r="E614" s="0" t="n">
        <f aca="false">IFERROR(__xludf.dummyfunction("""COMPUTED_VALUE"""),10)</f>
        <v>10</v>
      </c>
      <c r="F614" s="0" t="str">
        <f aca="false">IFERROR(__xludf.dummyfunction("filter(Formulas!$C:$C,Formulas!$A:$A=B614)"),"""formula"":[{""sku"":""1101"",""req"":1}]")</f>
        <v>"formula":[{"sku":"1101","req":1}]</v>
      </c>
      <c r="G614" s="0" t="n">
        <f aca="false">IFERROR(__xludf.dummyfunction("""COMPUTED_VALUE"""),2)</f>
        <v>2</v>
      </c>
      <c r="H614" s="21" t="str">
        <f aca="false">IFERROR(__xludf.dummyfunction("IF(D614,filter(Productos!AC:AC,Productos!A:A=B614),)"),"fabrica")</f>
        <v>fabrica</v>
      </c>
      <c r="I614" s="24" t="str">
        <f aca="false">IFERROR(__xludf.dummyfunction("""COMPUTED_VALUE"""),"")</f>
        <v/>
      </c>
      <c r="K614" s="0" t="e">
        <f aca="false">IF(D614,"{""sku"":"""&amp;B614&amp;""", ""costo"":"&amp;C614&amp;", ""grupo"":"""&amp;A614&amp;""", ""lote"":"&amp;D614&amp;", ""tiempo"":"&amp;E614&amp;", "&amp;F614&amp;", ""vencimiento"":"&amp;G614&amp;IF(I614,", ""precio"":"&amp;I614,)&amp;", ""tipo"":"""&amp;H614&amp;"""},",)</f>
        <v>#VALUE!</v>
      </c>
    </row>
    <row r="615" customFormat="false" ht="13" hidden="false" customHeight="false" outlineLevel="0" collapsed="false">
      <c r="A615" s="17" t="n">
        <v>9</v>
      </c>
      <c r="B615" s="0" t="n">
        <f aca="false">IFERROR(__xludf.dummyfunction("""COMPUTED_VALUE"""),1307)</f>
        <v>1307</v>
      </c>
      <c r="C615" s="24" t="n">
        <f aca="false">IFERROR(__xludf.dummyfunction("""COMPUTED_VALUE"""),50)</f>
        <v>50</v>
      </c>
      <c r="D615" s="0" t="n">
        <f aca="false">IFERROR(__xludf.dummyfunction("""COMPUTED_VALUE"""),11)</f>
        <v>11</v>
      </c>
      <c r="E615" s="0" t="n">
        <f aca="false">IFERROR(__xludf.dummyfunction("""COMPUTED_VALUE"""),30)</f>
        <v>30</v>
      </c>
      <c r="F615" s="0" t="str">
        <f aca="false">IFERROR(__xludf.dummyfunction("filter(Formulas!$C:$C,Formulas!$A:$A=B615)"),"""formula"":[{""sku"":""1007"",""req"":1}]")</f>
        <v>"formula":[{"sku":"1007","req":1}]</v>
      </c>
      <c r="G615" s="0" t="n">
        <f aca="false">IFERROR(__xludf.dummyfunction("""COMPUTED_VALUE"""),1.2)</f>
        <v>1.2</v>
      </c>
      <c r="H615" s="21" t="str">
        <f aca="false">IFERROR(__xludf.dummyfunction("IF(D615,filter(Productos!AC:AC,Productos!A:A=B615),)"),"fabrica")</f>
        <v>fabrica</v>
      </c>
      <c r="I615" s="24" t="str">
        <f aca="false">IFERROR(__xludf.dummyfunction("""COMPUTED_VALUE"""),"")</f>
        <v/>
      </c>
      <c r="K615" s="0" t="e">
        <f aca="false">IF(D615,"{""sku"":"""&amp;B615&amp;""", ""costo"":"&amp;C615&amp;", ""grupo"":"""&amp;A615&amp;""", ""lote"":"&amp;D615&amp;", ""tiempo"":"&amp;E615&amp;", "&amp;F615&amp;", ""vencimiento"":"&amp;G615&amp;IF(I615,", ""precio"":"&amp;I615,)&amp;", ""tipo"":"""&amp;H615&amp;"""},",)</f>
        <v>#VALUE!</v>
      </c>
    </row>
    <row r="616" customFormat="false" ht="13" hidden="false" customHeight="false" outlineLevel="0" collapsed="false">
      <c r="A616" s="16" t="n">
        <v>9</v>
      </c>
      <c r="B616" s="0" t="n">
        <f aca="false">IFERROR(__xludf.dummyfunction("""COMPUTED_VALUE"""),1309)</f>
        <v>1309</v>
      </c>
      <c r="C616" s="24" t="n">
        <f aca="false">IFERROR(__xludf.dummyfunction("""COMPUTED_VALUE"""),50)</f>
        <v>50</v>
      </c>
      <c r="D616" s="0" t="n">
        <f aca="false">IFERROR(__xludf.dummyfunction("""COMPUTED_VALUE"""),11)</f>
        <v>11</v>
      </c>
      <c r="E616" s="0" t="n">
        <f aca="false">IFERROR(__xludf.dummyfunction("""COMPUTED_VALUE"""),50)</f>
        <v>50</v>
      </c>
      <c r="F616" s="0" t="str">
        <f aca="false">IFERROR(__xludf.dummyfunction("filter(Formulas!$C:$C,Formulas!$A:$A=B616)"),"""formula"":[{""sku"":""1009"",""req"":1}]")</f>
        <v>"formula":[{"sku":"1009","req":1}]</v>
      </c>
      <c r="G616" s="0" t="n">
        <f aca="false">IFERROR(__xludf.dummyfunction("""COMPUTED_VALUE"""),1.2)</f>
        <v>1.2</v>
      </c>
      <c r="H616" s="21" t="str">
        <f aca="false">IFERROR(__xludf.dummyfunction("IF(D616,filter(Productos!AC:AC,Productos!A:A=B616),)"),"fabrica")</f>
        <v>fabrica</v>
      </c>
      <c r="I616" s="24" t="str">
        <f aca="false">IFERROR(__xludf.dummyfunction("""COMPUTED_VALUE"""),"")</f>
        <v/>
      </c>
      <c r="K616" s="0" t="e">
        <f aca="false">IF(D616,"{""sku"":"""&amp;B616&amp;""", ""costo"":"&amp;C616&amp;", ""grupo"":"""&amp;A616&amp;""", ""lote"":"&amp;D616&amp;", ""tiempo"":"&amp;E616&amp;", "&amp;F616&amp;", ""vencimiento"":"&amp;G616&amp;IF(I616,", ""precio"":"&amp;I616,)&amp;", ""tipo"":"""&amp;H616&amp;"""},",)</f>
        <v>#VALUE!</v>
      </c>
    </row>
    <row r="617" customFormat="false" ht="13" hidden="false" customHeight="false" outlineLevel="0" collapsed="false">
      <c r="A617" s="17" t="n">
        <v>9</v>
      </c>
      <c r="B617" s="0" t="n">
        <f aca="false">IFERROR(__xludf.dummyfunction("""COMPUTED_VALUE"""),1310)</f>
        <v>1310</v>
      </c>
      <c r="C617" s="24" t="n">
        <f aca="false">IFERROR(__xludf.dummyfunction("""COMPUTED_VALUE"""),10)</f>
        <v>10</v>
      </c>
      <c r="D617" s="0" t="n">
        <f aca="false">IFERROR(__xludf.dummyfunction("""COMPUTED_VALUE"""),12)</f>
        <v>12</v>
      </c>
      <c r="E617" s="0" t="n">
        <f aca="false">IFERROR(__xludf.dummyfunction("""COMPUTED_VALUE"""),10)</f>
        <v>10</v>
      </c>
      <c r="F617" s="0" t="str">
        <f aca="false">IFERROR(__xludf.dummyfunction("filter(Formulas!$C:$C,Formulas!$A:$A=B617)"),"""formula"":[{""sku"":""1010"",""req"":1}]")</f>
        <v>"formula":[{"sku":"1010","req":1}]</v>
      </c>
      <c r="G617" s="0" t="n">
        <f aca="false">IFERROR(__xludf.dummyfunction("""COMPUTED_VALUE"""),2)</f>
        <v>2</v>
      </c>
      <c r="H617" s="21" t="str">
        <f aca="false">IFERROR(__xludf.dummyfunction("IF(D617,filter(Productos!AC:AC,Productos!A:A=B617),)"),"fabrica")</f>
        <v>fabrica</v>
      </c>
      <c r="I617" s="24" t="str">
        <f aca="false">IFERROR(__xludf.dummyfunction("""COMPUTED_VALUE"""),"")</f>
        <v/>
      </c>
      <c r="K617" s="0" t="e">
        <f aca="false">IF(D617,"{""sku"":"""&amp;B617&amp;""", ""costo"":"&amp;C617&amp;", ""grupo"":"""&amp;A617&amp;""", ""lote"":"&amp;D617&amp;", ""tiempo"":"&amp;E617&amp;", "&amp;F617&amp;", ""vencimiento"":"&amp;G617&amp;IF(I617,", ""precio"":"&amp;I617,)&amp;", ""tipo"":"""&amp;H617&amp;"""},",)</f>
        <v>#VALUE!</v>
      </c>
    </row>
    <row r="618" customFormat="false" ht="13" hidden="false" customHeight="false" outlineLevel="0" collapsed="false">
      <c r="A618" s="16" t="n">
        <v>9</v>
      </c>
      <c r="B618" s="0" t="n">
        <f aca="false">IFERROR(__xludf.dummyfunction("""COMPUTED_VALUE"""),1407)</f>
        <v>1407</v>
      </c>
      <c r="C618" s="24" t="n">
        <f aca="false">IFERROR(__xludf.dummyfunction("""COMPUTED_VALUE"""),10)</f>
        <v>10</v>
      </c>
      <c r="D618" s="0" t="n">
        <f aca="false">IFERROR(__xludf.dummyfunction("""COMPUTED_VALUE"""),14)</f>
        <v>14</v>
      </c>
      <c r="E618" s="0" t="n">
        <f aca="false">IFERROR(__xludf.dummyfunction("""COMPUTED_VALUE"""),30)</f>
        <v>30</v>
      </c>
      <c r="F618" s="0" t="str">
        <f aca="false">IFERROR(__xludf.dummyfunction("filter(Formulas!$C:$C,Formulas!$A:$A=B618)"),"""formula"":[{""sku"":""1007"",""req"":1}]")</f>
        <v>"formula":[{"sku":"1007","req":1}]</v>
      </c>
      <c r="G618" s="0" t="n">
        <f aca="false">IFERROR(__xludf.dummyfunction("""COMPUTED_VALUE"""),2)</f>
        <v>2</v>
      </c>
      <c r="H618" s="21" t="str">
        <f aca="false">IFERROR(__xludf.dummyfunction("IF(D618,filter(Productos!AC:AC,Productos!A:A=B618),)"),"fabrica")</f>
        <v>fabrica</v>
      </c>
      <c r="I618" s="24" t="str">
        <f aca="false">IFERROR(__xludf.dummyfunction("""COMPUTED_VALUE"""),"")</f>
        <v/>
      </c>
      <c r="K618" s="0" t="e">
        <f aca="false">IF(D618,"{""sku"":"""&amp;B618&amp;""", ""costo"":"&amp;C618&amp;", ""grupo"":"""&amp;A618&amp;""", ""lote"":"&amp;D618&amp;", ""tiempo"":"&amp;E618&amp;", "&amp;F618&amp;", ""vencimiento"":"&amp;G618&amp;IF(I618,", ""precio"":"&amp;I618,)&amp;", ""tipo"":"""&amp;H618&amp;"""},",)</f>
        <v>#VALUE!</v>
      </c>
    </row>
    <row r="619" customFormat="false" ht="13" hidden="false" customHeight="false" outlineLevel="0" collapsed="false">
      <c r="A619" s="17" t="n">
        <v>9</v>
      </c>
      <c r="B619" s="0" t="n">
        <f aca="false">IFERROR(__xludf.dummyfunction("""COMPUTED_VALUE"""),10001)</f>
        <v>10001</v>
      </c>
      <c r="C619" s="24" t="n">
        <f aca="false">IFERROR(__xludf.dummyfunction("""COMPUTED_VALUE"""),10)</f>
        <v>10</v>
      </c>
      <c r="D619" s="0" t="n">
        <f aca="false">IFERROR(__xludf.dummyfunction("""COMPUTED_VALUE"""),1)</f>
        <v>1</v>
      </c>
      <c r="E619" s="0" t="n">
        <f aca="false">IFERROR(__xludf.dummyfunction("""COMPUTED_VALUE"""),10)</f>
        <v>10</v>
      </c>
      <c r="F619" s="0" t="str">
        <f aca="false">IFERROR(__xludf.dummyfunction("filter(Formulas!$C:$C,Formulas!$A:$A=B619)"),"""formula"":[{""sku"":""1201"",""req"":1},{""sku"":""1105"",""req"":1},{""sku"":""1210"",""req"":1},{""sku"":""1211"",""req"":1},{""sku"":""1116"",""req"":1}]")</f>
        <v>"formula":[{"sku":"1201","req":1},{"sku":"1105","req":1},{"sku":"1210","req":1},{"sku":"1211","req":1},{"sku":"1116","req":1}]</v>
      </c>
      <c r="G619" s="0" t="n">
        <f aca="false">IFERROR(__xludf.dummyfunction("""COMPUTED_VALUE"""),1)</f>
        <v>1</v>
      </c>
      <c r="H619" s="21" t="str">
        <f aca="false">IFERROR(__xludf.dummyfunction("IF(D619,filter(Productos!AC:AC,Productos!A:A=B619),)"),"cocina")</f>
        <v>cocina</v>
      </c>
      <c r="I619" s="24" t="n">
        <f aca="false">IFERROR(__xludf.dummyfunction("""COMPUTED_VALUE"""),4500)</f>
        <v>4500</v>
      </c>
      <c r="K619" s="0" t="str">
        <f aca="false">IF(D619,"{""sku"":"""&amp;B619&amp;""", ""costo"":"&amp;C619&amp;", ""grupo"":"""&amp;A619&amp;""", ""lote"":"&amp;D619&amp;", ""tiempo"":"&amp;E619&amp;", "&amp;F619&amp;", ""vencimiento"":"&amp;G619&amp;IF(I619,", ""precio"":"&amp;I619,)&amp;", ""tipo"":"""&amp;H619&amp;"""},",)</f>
        <v>{"sku":"10001", "costo":10, "grupo":"9", "lote":1, "tiempo":10, "formula":[{"sku":"1201","req":1},{"sku":"1105","req":1},{"sku":"1210","req":1},{"sku":"1211","req":1},{"sku":"1116","req":1}], "vencimiento":1, "precio":4500, "tipo":"cocina"},</v>
      </c>
    </row>
    <row r="620" customFormat="false" ht="13" hidden="false" customHeight="false" outlineLevel="0" collapsed="false">
      <c r="A620" s="16" t="n">
        <v>9</v>
      </c>
      <c r="B620" s="0" t="n">
        <f aca="false">IFERROR(__xludf.dummyfunction("""COMPUTED_VALUE"""),10002)</f>
        <v>10002</v>
      </c>
      <c r="C620" s="24" t="n">
        <f aca="false">IFERROR(__xludf.dummyfunction("""COMPUTED_VALUE"""),10)</f>
        <v>10</v>
      </c>
      <c r="D620" s="0" t="n">
        <f aca="false">IFERROR(__xludf.dummyfunction("""COMPUTED_VALUE"""),1)</f>
        <v>1</v>
      </c>
      <c r="E620" s="0" t="n">
        <f aca="false">IFERROR(__xludf.dummyfunction("""COMPUTED_VALUE"""),20)</f>
        <v>20</v>
      </c>
      <c r="F620" s="0" t="str">
        <f aca="false">IFERROR(__xludf.dummyfunction("filter(Formulas!$C:$C,Formulas!$A:$A=B620)"),"""formula"":[{""sku"":""1201"",""req"":1},{""sku"":""1105"",""req"":1},{""sku"":""1013"",""req"":5},{""sku"":""1210"",""req"":1},{""sku"":""1116"",""req"":1}]")</f>
        <v>"formula":[{"sku":"1201","req":1},{"sku":"1105","req":1},{"sku":"1013","req":5},{"sku":"1210","req":1},{"sku":"1116","req":1}]</v>
      </c>
      <c r="G620" s="0" t="n">
        <f aca="false">IFERROR(__xludf.dummyfunction("""COMPUTED_VALUE"""),1)</f>
        <v>1</v>
      </c>
      <c r="H620" s="21" t="str">
        <f aca="false">IFERROR(__xludf.dummyfunction("IF(D620,filter(Productos!AC:AC,Productos!A:A=B620),)"),"cocina")</f>
        <v>cocina</v>
      </c>
      <c r="I620" s="24" t="n">
        <f aca="false">IFERROR(__xludf.dummyfunction("""COMPUTED_VALUE"""),4500)</f>
        <v>4500</v>
      </c>
      <c r="K620" s="0" t="str">
        <f aca="false">IF(D620,"{""sku"":"""&amp;B620&amp;""", ""costo"":"&amp;C620&amp;", ""grupo"":"""&amp;A620&amp;""", ""lote"":"&amp;D620&amp;", ""tiempo"":"&amp;E620&amp;", "&amp;F620&amp;", ""vencimiento"":"&amp;G620&amp;IF(I620,", ""precio"":"&amp;I620,)&amp;", ""tipo"":"""&amp;H620&amp;"""},",)</f>
        <v>{"sku":"10002", "costo":10, "grupo":"9", "lote":1, "tiempo":20, "formula":[{"sku":"1201","req":1},{"sku":"1105","req":1},{"sku":"1013","req":5},{"sku":"1210","req":1},{"sku":"1116","req":1}], "vencimiento":1, "precio":4500, "tipo":"cocina"},</v>
      </c>
    </row>
    <row r="621" customFormat="false" ht="13" hidden="false" customHeight="false" outlineLevel="0" collapsed="false">
      <c r="A621" s="17" t="n">
        <v>9</v>
      </c>
      <c r="B621" s="0" t="n">
        <f aca="false">IFERROR(__xludf.dummyfunction("""COMPUTED_VALUE"""),10003)</f>
        <v>10003</v>
      </c>
      <c r="C621" s="24" t="n">
        <f aca="false">IFERROR(__xludf.dummyfunction("""COMPUTED_VALUE"""),10)</f>
        <v>10</v>
      </c>
      <c r="D621" s="0" t="n">
        <f aca="false">IFERROR(__xludf.dummyfunction("""COMPUTED_VALUE"""),1)</f>
        <v>1</v>
      </c>
      <c r="E621" s="0" t="n">
        <f aca="false">IFERROR(__xludf.dummyfunction("""COMPUTED_VALUE"""),30)</f>
        <v>30</v>
      </c>
      <c r="F621" s="0" t="str">
        <f aca="false">IFERROR(__xludf.dummyfunction("filter(Formulas!$C:$C,Formulas!$A:$A=B621)"),"""formula"":[{""sku"":""1201"",""req"":1},{""sku"":""1105"",""req"":1},{""sku"":""1013"",""req"":5},{""sku"":""1210"",""req"":1},{""sku"":""1211"",""req"":1},{""sku"":""1116"",""req"":1}]")</f>
        <v>"formula":[{"sku":"1201","req":1},{"sku":"1105","req":1},{"sku":"1013","req":5},{"sku":"1210","req":1},{"sku":"1211","req":1},{"sku":"1116","req":1}]</v>
      </c>
      <c r="G621" s="0" t="n">
        <f aca="false">IFERROR(__xludf.dummyfunction("""COMPUTED_VALUE"""),1)</f>
        <v>1</v>
      </c>
      <c r="H621" s="21" t="str">
        <f aca="false">IFERROR(__xludf.dummyfunction("IF(D621,filter(Productos!AC:AC,Productos!A:A=B621),)"),"cocina")</f>
        <v>cocina</v>
      </c>
      <c r="I621" s="24" t="n">
        <f aca="false">IFERROR(__xludf.dummyfunction("""COMPUTED_VALUE"""),4700)</f>
        <v>4700</v>
      </c>
      <c r="K621" s="0" t="str">
        <f aca="false">IF(D621,"{""sku"":"""&amp;B621&amp;""", ""costo"":"&amp;C621&amp;", ""grupo"":"""&amp;A621&amp;""", ""lote"":"&amp;D621&amp;", ""tiempo"":"&amp;E621&amp;", "&amp;F621&amp;", ""vencimiento"":"&amp;G621&amp;IF(I621,", ""precio"":"&amp;I621,)&amp;", ""tipo"":"""&amp;H621&amp;"""},",)</f>
        <v>{"sku":"10003", "costo":10, "grupo":"9", "lote":1, "tiempo":30, "formula":[{"sku":"1201","req":1},{"sku":"1105","req":1},{"sku":"1013","req":5},{"sku":"1210","req":1},{"sku":"1211","req":1},{"sku":"1116","req":1}], "vencimiento":1, "precio":4700, "tipo":"cocina"},</v>
      </c>
    </row>
    <row r="622" customFormat="false" ht="13" hidden="false" customHeight="false" outlineLevel="0" collapsed="false">
      <c r="A622" s="16" t="n">
        <v>9</v>
      </c>
      <c r="B622" s="0" t="n">
        <f aca="false">IFERROR(__xludf.dummyfunction("""COMPUTED_VALUE"""),10004)</f>
        <v>10004</v>
      </c>
      <c r="C622" s="24" t="n">
        <f aca="false">IFERROR(__xludf.dummyfunction("""COMPUTED_VALUE"""),10)</f>
        <v>10</v>
      </c>
      <c r="D622" s="0" t="n">
        <f aca="false">IFERROR(__xludf.dummyfunction("""COMPUTED_VALUE"""),1)</f>
        <v>1</v>
      </c>
      <c r="E622" s="0" t="n">
        <f aca="false">IFERROR(__xludf.dummyfunction("""COMPUTED_VALUE"""),10)</f>
        <v>10</v>
      </c>
      <c r="F622" s="0" t="str">
        <f aca="false">IFERROR(__xludf.dummyfunction("filter(Formulas!$C:$C,Formulas!$A:$A=B622)"),"""formula"":[{""sku"":""1201"",""req"":1},{""sku"":""1106"",""req"":4},{""sku"":""1210"",""req"":1},{""sku"":""1211"",""req"":1},{""sku"":""1116"",""req"":1}]")</f>
        <v>"formula":[{"sku":"1201","req":1},{"sku":"1106","req":4},{"sku":"1210","req":1},{"sku":"1211","req":1},{"sku":"1116","req":1}]</v>
      </c>
      <c r="G622" s="0" t="n">
        <f aca="false">IFERROR(__xludf.dummyfunction("""COMPUTED_VALUE"""),1)</f>
        <v>1</v>
      </c>
      <c r="H622" s="21" t="str">
        <f aca="false">IFERROR(__xludf.dummyfunction("IF(D622,filter(Productos!AC:AC,Productos!A:A=B622),)"),"cocina")</f>
        <v>cocina</v>
      </c>
      <c r="I622" s="24" t="n">
        <f aca="false">IFERROR(__xludf.dummyfunction("""COMPUTED_VALUE"""),4700)</f>
        <v>4700</v>
      </c>
      <c r="K622" s="0" t="str">
        <f aca="false">IF(D622,"{""sku"":"""&amp;B622&amp;""", ""costo"":"&amp;C622&amp;", ""grupo"":"""&amp;A622&amp;""", ""lote"":"&amp;D622&amp;", ""tiempo"":"&amp;E622&amp;", "&amp;F622&amp;", ""vencimiento"":"&amp;G622&amp;IF(I622,", ""precio"":"&amp;I622,)&amp;", ""tipo"":"""&amp;H622&amp;"""},",)</f>
        <v>{"sku":"10004", "costo":10, "grupo":"9", "lote":1, "tiempo":10, "formula":[{"sku":"1201","req":1},{"sku":"1106","req":4},{"sku":"1210","req":1},{"sku":"1211","req":1},{"sku":"1116","req":1}], "vencimiento":1, "precio":4700, "tipo":"cocina"},</v>
      </c>
    </row>
    <row r="623" customFormat="false" ht="13" hidden="false" customHeight="false" outlineLevel="0" collapsed="false">
      <c r="A623" s="17" t="n">
        <v>9</v>
      </c>
      <c r="B623" s="0" t="n">
        <f aca="false">IFERROR(__xludf.dummyfunction("""COMPUTED_VALUE"""),10005)</f>
        <v>10005</v>
      </c>
      <c r="C623" s="24" t="n">
        <f aca="false">IFERROR(__xludf.dummyfunction("""COMPUTED_VALUE"""),10)</f>
        <v>10</v>
      </c>
      <c r="D623" s="0" t="n">
        <f aca="false">IFERROR(__xludf.dummyfunction("""COMPUTED_VALUE"""),1)</f>
        <v>1</v>
      </c>
      <c r="E623" s="0" t="n">
        <f aca="false">IFERROR(__xludf.dummyfunction("""COMPUTED_VALUE"""),20)</f>
        <v>20</v>
      </c>
      <c r="F623" s="0" t="str">
        <f aca="false">IFERROR(__xludf.dummyfunction("filter(Formulas!$C:$C,Formulas!$A:$A=B623)"),"""formula"":[{""sku"":""1201"",""req"":1},{""sku"":""1106"",""req"":4},{""sku"":""1013"",""req"":5},{""sku"":""1210"",""req"":1},{""sku"":""1116"",""req"":1}]")</f>
        <v>"formula":[{"sku":"1201","req":1},{"sku":"1106","req":4},{"sku":"1013","req":5},{"sku":"1210","req":1},{"sku":"1116","req":1}]</v>
      </c>
      <c r="G623" s="0" t="n">
        <f aca="false">IFERROR(__xludf.dummyfunction("""COMPUTED_VALUE"""),1)</f>
        <v>1</v>
      </c>
      <c r="H623" s="21" t="str">
        <f aca="false">IFERROR(__xludf.dummyfunction("IF(D623,filter(Productos!AC:AC,Productos!A:A=B623),)"),"cocina")</f>
        <v>cocina</v>
      </c>
      <c r="I623" s="24" t="n">
        <f aca="false">IFERROR(__xludf.dummyfunction("""COMPUTED_VALUE"""),4700)</f>
        <v>4700</v>
      </c>
      <c r="K623" s="0" t="str">
        <f aca="false">IF(D623,"{""sku"":"""&amp;B623&amp;""", ""costo"":"&amp;C623&amp;", ""grupo"":"""&amp;A623&amp;""", ""lote"":"&amp;D623&amp;", ""tiempo"":"&amp;E623&amp;", "&amp;F623&amp;", ""vencimiento"":"&amp;G623&amp;IF(I623,", ""precio"":"&amp;I623,)&amp;", ""tipo"":"""&amp;H623&amp;"""},",)</f>
        <v>{"sku":"10005", "costo":10, "grupo":"9", "lote":1, "tiempo":20, "formula":[{"sku":"1201","req":1},{"sku":"1106","req":4},{"sku":"1013","req":5},{"sku":"1210","req":1},{"sku":"1116","req":1}], "vencimiento":1, "precio":4700, "tipo":"cocina"},</v>
      </c>
    </row>
    <row r="624" customFormat="false" ht="13" hidden="false" customHeight="false" outlineLevel="0" collapsed="false">
      <c r="A624" s="16" t="n">
        <v>9</v>
      </c>
      <c r="B624" s="0" t="n">
        <f aca="false">IFERROR(__xludf.dummyfunction("""COMPUTED_VALUE"""),10006)</f>
        <v>10006</v>
      </c>
      <c r="C624" s="24" t="n">
        <f aca="false">IFERROR(__xludf.dummyfunction("""COMPUTED_VALUE"""),10)</f>
        <v>10</v>
      </c>
      <c r="D624" s="0" t="n">
        <f aca="false">IFERROR(__xludf.dummyfunction("""COMPUTED_VALUE"""),1)</f>
        <v>1</v>
      </c>
      <c r="E624" s="0" t="n">
        <f aca="false">IFERROR(__xludf.dummyfunction("""COMPUTED_VALUE"""),10)</f>
        <v>10</v>
      </c>
      <c r="F624" s="0" t="str">
        <f aca="false">IFERROR(__xludf.dummyfunction("filter(Formulas!$C:$C,Formulas!$A:$A=B624)"),"""formula"":[{""sku"":""1201"",""req"":1},{""sku"":""1210"",""req"":1},{""sku"":""1107"",""req"":1},{""sku"":""1211"",""req"":1},{""sku"":""1116"",""req"":1}]")</f>
        <v>"formula":[{"sku":"1201","req":1},{"sku":"1210","req":1},{"sku":"1107","req":1},{"sku":"1211","req":1},{"sku":"1116","req":1}]</v>
      </c>
      <c r="G624" s="0" t="n">
        <f aca="false">IFERROR(__xludf.dummyfunction("""COMPUTED_VALUE"""),1)</f>
        <v>1</v>
      </c>
      <c r="H624" s="21" t="str">
        <f aca="false">IFERROR(__xludf.dummyfunction("IF(D624,filter(Productos!AC:AC,Productos!A:A=B624),)"),"cocina")</f>
        <v>cocina</v>
      </c>
      <c r="I624" s="24" t="n">
        <f aca="false">IFERROR(__xludf.dummyfunction("""COMPUTED_VALUE"""),4900)</f>
        <v>4900</v>
      </c>
      <c r="K624" s="0" t="str">
        <f aca="false">IF(D624,"{""sku"":"""&amp;B624&amp;""", ""costo"":"&amp;C624&amp;", ""grupo"":"""&amp;A624&amp;""", ""lote"":"&amp;D624&amp;", ""tiempo"":"&amp;E624&amp;", "&amp;F624&amp;", ""vencimiento"":"&amp;G624&amp;IF(I624,", ""precio"":"&amp;I624,)&amp;", ""tipo"":"""&amp;H624&amp;"""},",)</f>
        <v>{"sku":"10006", "costo":10, "grupo":"9", "lote":1, "tiempo":10, "formula":[{"sku":"1201","req":1},{"sku":"1210","req":1},{"sku":"1107","req":1},{"sku":"1211","req":1},{"sku":"1116","req":1}], "vencimiento":1, "precio":4900, "tipo":"cocina"},</v>
      </c>
    </row>
    <row r="625" customFormat="false" ht="13" hidden="false" customHeight="false" outlineLevel="0" collapsed="false">
      <c r="A625" s="17" t="n">
        <v>9</v>
      </c>
      <c r="B625" s="0" t="n">
        <f aca="false">IFERROR(__xludf.dummyfunction("""COMPUTED_VALUE"""),10007)</f>
        <v>10007</v>
      </c>
      <c r="C625" s="24" t="n">
        <f aca="false">IFERROR(__xludf.dummyfunction("""COMPUTED_VALUE"""),10)</f>
        <v>10</v>
      </c>
      <c r="D625" s="0" t="n">
        <f aca="false">IFERROR(__xludf.dummyfunction("""COMPUTED_VALUE"""),1)</f>
        <v>1</v>
      </c>
      <c r="E625" s="0" t="n">
        <f aca="false">IFERROR(__xludf.dummyfunction("""COMPUTED_VALUE"""),20)</f>
        <v>20</v>
      </c>
      <c r="F625" s="0" t="str">
        <f aca="false">IFERROR(__xludf.dummyfunction("filter(Formulas!$C:$C,Formulas!$A:$A=B625)"),"""formula"":[{""sku"":""1201"",""req"":1},{""sku"":""1013"",""req"":5},{""sku"":""1210"",""req"":1},{""sku"":""1107"",""req"":1},{""sku"":""1116"",""req"":1}]")</f>
        <v>"formula":[{"sku":"1201","req":1},{"sku":"1013","req":5},{"sku":"1210","req":1},{"sku":"1107","req":1},{"sku":"1116","req":1}]</v>
      </c>
      <c r="G625" s="0" t="n">
        <f aca="false">IFERROR(__xludf.dummyfunction("""COMPUTED_VALUE"""),1)</f>
        <v>1</v>
      </c>
      <c r="H625" s="21" t="str">
        <f aca="false">IFERROR(__xludf.dummyfunction("IF(D625,filter(Productos!AC:AC,Productos!A:A=B625),)"),"cocina")</f>
        <v>cocina</v>
      </c>
      <c r="I625" s="24" t="n">
        <f aca="false">IFERROR(__xludf.dummyfunction("""COMPUTED_VALUE"""),4900)</f>
        <v>4900</v>
      </c>
      <c r="K625" s="0" t="str">
        <f aca="false">IF(D625,"{""sku"":"""&amp;B625&amp;""", ""costo"":"&amp;C625&amp;", ""grupo"":"""&amp;A625&amp;""", ""lote"":"&amp;D625&amp;", ""tiempo"":"&amp;E625&amp;", "&amp;F625&amp;", ""vencimiento"":"&amp;G625&amp;IF(I625,", ""precio"":"&amp;I625,)&amp;", ""tipo"":"""&amp;H625&amp;"""},",)</f>
        <v>{"sku":"10007", "costo":10, "grupo":"9", "lote":1, "tiempo":20, "formula":[{"sku":"1201","req":1},{"sku":"1013","req":5},{"sku":"1210","req":1},{"sku":"1107","req":1},{"sku":"1116","req":1}], "vencimiento":1, "precio":4900, "tipo":"cocina"},</v>
      </c>
    </row>
    <row r="626" customFormat="false" ht="13" hidden="false" customHeight="false" outlineLevel="0" collapsed="false">
      <c r="A626" s="16" t="n">
        <v>9</v>
      </c>
      <c r="B626" s="0" t="n">
        <f aca="false">IFERROR(__xludf.dummyfunction("""COMPUTED_VALUE"""),10008)</f>
        <v>10008</v>
      </c>
      <c r="C626" s="24" t="n">
        <f aca="false">IFERROR(__xludf.dummyfunction("""COMPUTED_VALUE"""),10)</f>
        <v>10</v>
      </c>
      <c r="D626" s="0" t="n">
        <f aca="false">IFERROR(__xludf.dummyfunction("""COMPUTED_VALUE"""),1)</f>
        <v>1</v>
      </c>
      <c r="E626" s="0" t="n">
        <f aca="false">IFERROR(__xludf.dummyfunction("""COMPUTED_VALUE"""),20)</f>
        <v>20</v>
      </c>
      <c r="F626" s="0" t="str">
        <f aca="false">IFERROR(__xludf.dummyfunction("filter(Formulas!$C:$C,Formulas!$A:$A=B626)"),"""formula"":[{""sku"":""1201"",""req"":1},{""sku"":""1109"",""req"":1},{""sku"":""1210"",""req"":1},{""sku"":""1211"",""req"":1},{""sku"":""1116"",""req"":1}]")</f>
        <v>"formula":[{"sku":"1201","req":1},{"sku":"1109","req":1},{"sku":"1210","req":1},{"sku":"1211","req":1},{"sku":"1116","req":1}]</v>
      </c>
      <c r="G626" s="0" t="n">
        <f aca="false">IFERROR(__xludf.dummyfunction("""COMPUTED_VALUE"""),1)</f>
        <v>1</v>
      </c>
      <c r="H626" s="21" t="str">
        <f aca="false">IFERROR(__xludf.dummyfunction("IF(D626,filter(Productos!AC:AC,Productos!A:A=B626),)"),"cocina")</f>
        <v>cocina</v>
      </c>
      <c r="I626" s="24" t="n">
        <f aca="false">IFERROR(__xludf.dummyfunction("""COMPUTED_VALUE"""),4900)</f>
        <v>4900</v>
      </c>
      <c r="K626" s="0" t="str">
        <f aca="false">IF(D626,"{""sku"":"""&amp;B626&amp;""", ""costo"":"&amp;C626&amp;", ""grupo"":"""&amp;A626&amp;""", ""lote"":"&amp;D626&amp;", ""tiempo"":"&amp;E626&amp;", "&amp;F626&amp;", ""vencimiento"":"&amp;G626&amp;IF(I626,", ""precio"":"&amp;I626,)&amp;", ""tipo"":"""&amp;H626&amp;"""},",)</f>
        <v>{"sku":"10008", "costo":10, "grupo":"9", "lote":1, "tiempo":20, "formula":[{"sku":"1201","req":1},{"sku":"1109","req":1},{"sku":"1210","req":1},{"sku":"1211","req":1},{"sku":"1116","req":1}], "vencimiento":1, "precio":4900, "tipo":"cocina"},</v>
      </c>
    </row>
    <row r="627" customFormat="false" ht="13" hidden="false" customHeight="false" outlineLevel="0" collapsed="false">
      <c r="A627" s="17" t="n">
        <v>9</v>
      </c>
      <c r="B627" s="0" t="n">
        <f aca="false">IFERROR(__xludf.dummyfunction("""COMPUTED_VALUE"""),10009)</f>
        <v>10009</v>
      </c>
      <c r="C627" s="24" t="n">
        <f aca="false">IFERROR(__xludf.dummyfunction("""COMPUTED_VALUE"""),10)</f>
        <v>10</v>
      </c>
      <c r="D627" s="0" t="n">
        <f aca="false">IFERROR(__xludf.dummyfunction("""COMPUTED_VALUE"""),1)</f>
        <v>1</v>
      </c>
      <c r="E627" s="0" t="n">
        <f aca="false">IFERROR(__xludf.dummyfunction("""COMPUTED_VALUE"""),30)</f>
        <v>30</v>
      </c>
      <c r="F627" s="0" t="str">
        <f aca="false">IFERROR(__xludf.dummyfunction("filter(Formulas!$C:$C,Formulas!$A:$A=B627)"),"""formula"":[{""sku"":""1201"",""req"":1},{""sku"":""1109"",""req"":1},{""sku"":""1013"",""req"":5},{""sku"":""1210"",""req"":1},{""sku"":""1116"",""req"":1}]")</f>
        <v>"formula":[{"sku":"1201","req":1},{"sku":"1109","req":1},{"sku":"1013","req":5},{"sku":"1210","req":1},{"sku":"1116","req":1}]</v>
      </c>
      <c r="G627" s="0" t="n">
        <f aca="false">IFERROR(__xludf.dummyfunction("""COMPUTED_VALUE"""),1)</f>
        <v>1</v>
      </c>
      <c r="H627" s="21" t="str">
        <f aca="false">IFERROR(__xludf.dummyfunction("IF(D627,filter(Productos!AC:AC,Productos!A:A=B627),)"),"cocina")</f>
        <v>cocina</v>
      </c>
      <c r="I627" s="24" t="n">
        <f aca="false">IFERROR(__xludf.dummyfunction("""COMPUTED_VALUE"""),4900)</f>
        <v>4900</v>
      </c>
      <c r="K627" s="0" t="str">
        <f aca="false">IF(D627,"{""sku"":"""&amp;B627&amp;""", ""costo"":"&amp;C627&amp;", ""grupo"":"""&amp;A627&amp;""", ""lote"":"&amp;D627&amp;", ""tiempo"":"&amp;E627&amp;", "&amp;F627&amp;", ""vencimiento"":"&amp;G627&amp;IF(I627,", ""precio"":"&amp;I627,)&amp;", ""tipo"":"""&amp;H627&amp;"""},",)</f>
        <v>{"sku":"10009", "costo":10, "grupo":"9", "lote":1, "tiempo":30, "formula":[{"sku":"1201","req":1},{"sku":"1109","req":1},{"sku":"1013","req":5},{"sku":"1210","req":1},{"sku":"1116","req":1}], "vencimiento":1, "precio":4900, "tipo":"cocina"},</v>
      </c>
    </row>
    <row r="628" customFormat="false" ht="13" hidden="false" customHeight="false" outlineLevel="0" collapsed="false">
      <c r="A628" s="16" t="n">
        <v>9</v>
      </c>
      <c r="B628" s="0" t="n">
        <f aca="false">IFERROR(__xludf.dummyfunction("""COMPUTED_VALUE"""),10010)</f>
        <v>10010</v>
      </c>
      <c r="C628" s="24" t="n">
        <f aca="false">IFERROR(__xludf.dummyfunction("""COMPUTED_VALUE"""),10)</f>
        <v>10</v>
      </c>
      <c r="D628" s="0" t="n">
        <f aca="false">IFERROR(__xludf.dummyfunction("""COMPUTED_VALUE"""),1)</f>
        <v>1</v>
      </c>
      <c r="E628" s="0" t="n">
        <f aca="false">IFERROR(__xludf.dummyfunction("""COMPUTED_VALUE"""),10)</f>
        <v>10</v>
      </c>
      <c r="F628" s="0" t="str">
        <f aca="false">IFERROR(__xludf.dummyfunction("filter(Formulas!$C:$C,Formulas!$A:$A=B628)"),"""formula"":[{""sku"":""1201"",""req"":1},{""sku"":""1106"",""req"":4},{""sku"":""1210"",""req"":1},{""sku"":""1110"",""req"":1},{""sku"":""1116"",""req"":1}]")</f>
        <v>"formula":[{"sku":"1201","req":1},{"sku":"1106","req":4},{"sku":"1210","req":1},{"sku":"1110","req":1},{"sku":"1116","req":1}]</v>
      </c>
      <c r="G628" s="0" t="n">
        <f aca="false">IFERROR(__xludf.dummyfunction("""COMPUTED_VALUE"""),1)</f>
        <v>1</v>
      </c>
      <c r="H628" s="21" t="str">
        <f aca="false">IFERROR(__xludf.dummyfunction("IF(D628,filter(Productos!AC:AC,Productos!A:A=B628),)"),"cocina")</f>
        <v>cocina</v>
      </c>
      <c r="I628" s="24" t="n">
        <f aca="false">IFERROR(__xludf.dummyfunction("""COMPUTED_VALUE"""),4900)</f>
        <v>4900</v>
      </c>
      <c r="K628" s="0" t="str">
        <f aca="false">IF(D628,"{""sku"":"""&amp;B628&amp;""", ""costo"":"&amp;C628&amp;", ""grupo"":"""&amp;A628&amp;""", ""lote"":"&amp;D628&amp;", ""tiempo"":"&amp;E628&amp;", "&amp;F628&amp;", ""vencimiento"":"&amp;G628&amp;IF(I628,", ""precio"":"&amp;I628,)&amp;", ""tipo"":"""&amp;H628&amp;"""},",)</f>
        <v>{"sku":"10010", "costo":10, "grupo":"9", "lote":1, "tiempo":10, "formula":[{"sku":"1201","req":1},{"sku":"1106","req":4},{"sku":"1210","req":1},{"sku":"1110","req":1},{"sku":"1116","req":1}], "vencimiento":1, "precio":4900, "tipo":"cocina"},</v>
      </c>
    </row>
    <row r="629" customFormat="false" ht="13" hidden="false" customHeight="false" outlineLevel="0" collapsed="false">
      <c r="A629" s="17" t="n">
        <v>9</v>
      </c>
      <c r="B629" s="0" t="n">
        <f aca="false">IFERROR(__xludf.dummyfunction("""COMPUTED_VALUE"""),10011)</f>
        <v>10011</v>
      </c>
      <c r="C629" s="24" t="n">
        <f aca="false">IFERROR(__xludf.dummyfunction("""COMPUTED_VALUE"""),10)</f>
        <v>10</v>
      </c>
      <c r="D629" s="0" t="n">
        <f aca="false">IFERROR(__xludf.dummyfunction("""COMPUTED_VALUE"""),1)</f>
        <v>1</v>
      </c>
      <c r="E629" s="0" t="n">
        <f aca="false">IFERROR(__xludf.dummyfunction("""COMPUTED_VALUE"""),20)</f>
        <v>20</v>
      </c>
      <c r="F629" s="0" t="str">
        <f aca="false">IFERROR(__xludf.dummyfunction("filter(Formulas!$C:$C,Formulas!$A:$A=B629)"),"""formula"":[{""sku"":""1201"",""req"":1},{""sku"":""1106"",""req"":4},{""sku"":""1114"",""req"":1},{""sku"":""1110"",""req"":1},{""sku"":""1112"",""req"":1},{""sku"":""1116"",""req"":1}]")</f>
        <v>"formula":[{"sku":"1201","req":1},{"sku":"1106","req":4},{"sku":"1114","req":1},{"sku":"1110","req":1},{"sku":"1112","req":1},{"sku":"1116","req":1}]</v>
      </c>
      <c r="G629" s="0" t="n">
        <f aca="false">IFERROR(__xludf.dummyfunction("""COMPUTED_VALUE"""),1)</f>
        <v>1</v>
      </c>
      <c r="H629" s="21" t="str">
        <f aca="false">IFERROR(__xludf.dummyfunction("IF(D629,filter(Productos!AC:AC,Productos!A:A=B629),)"),"cocina")</f>
        <v>cocina</v>
      </c>
      <c r="I629" s="24" t="n">
        <f aca="false">IFERROR(__xludf.dummyfunction("""COMPUTED_VALUE"""),5700)</f>
        <v>5700</v>
      </c>
      <c r="K629" s="0" t="str">
        <f aca="false">IF(D629,"{""sku"":"""&amp;B629&amp;""", ""costo"":"&amp;C629&amp;", ""grupo"":"""&amp;A629&amp;""", ""lote"":"&amp;D629&amp;", ""tiempo"":"&amp;E629&amp;", "&amp;F629&amp;", ""vencimiento"":"&amp;G629&amp;IF(I629,", ""precio"":"&amp;I629,)&amp;", ""tipo"":"""&amp;H629&amp;"""},",)</f>
        <v>{"sku":"10011", "costo":10, "grupo":"9", "lote":1, "tiempo":20, "formula":[{"sku":"1201","req":1},{"sku":"1106","req":4},{"sku":"1114","req":1},{"sku":"1110","req":1},{"sku":"1112","req":1},{"sku":"1116","req":1}], "vencimiento":1, "precio":5700, "tipo":"cocina"},</v>
      </c>
    </row>
    <row r="630" customFormat="false" ht="13" hidden="false" customHeight="false" outlineLevel="0" collapsed="false">
      <c r="A630" s="16" t="n">
        <v>9</v>
      </c>
      <c r="B630" s="0" t="n">
        <f aca="false">IFERROR(__xludf.dummyfunction("""COMPUTED_VALUE"""),10012)</f>
        <v>10012</v>
      </c>
      <c r="C630" s="24" t="n">
        <f aca="false">IFERROR(__xludf.dummyfunction("""COMPUTED_VALUE"""),10)</f>
        <v>10</v>
      </c>
      <c r="D630" s="0" t="n">
        <f aca="false">IFERROR(__xludf.dummyfunction("""COMPUTED_VALUE"""),1)</f>
        <v>1</v>
      </c>
      <c r="E630" s="0" t="n">
        <f aca="false">IFERROR(__xludf.dummyfunction("""COMPUTED_VALUE"""),20)</f>
        <v>20</v>
      </c>
      <c r="F630" s="0" t="str">
        <f aca="false">IFERROR(__xludf.dummyfunction("filter(Formulas!$C:$C,Formulas!$A:$A=B630)"),"""formula"":[{""sku"":""1201"",""req"":1},{""sku"":""1106"",""req"":4},{""sku"":""1110"",""req"":1},{""sku"":""1112"",""req"":1},{""sku"":""1108"",""req"":1},{""sku"":""1116"",""req"":1}]")</f>
        <v>"formula":[{"sku":"1201","req":1},{"sku":"1106","req":4},{"sku":"1110","req":1},{"sku":"1112","req":1},{"sku":"1108","req":1},{"sku":"1116","req":1}]</v>
      </c>
      <c r="G630" s="0" t="n">
        <f aca="false">IFERROR(__xludf.dummyfunction("""COMPUTED_VALUE"""),1)</f>
        <v>1</v>
      </c>
      <c r="H630" s="21" t="str">
        <f aca="false">IFERROR(__xludf.dummyfunction("IF(D630,filter(Productos!AC:AC,Productos!A:A=B630),)"),"cocina")</f>
        <v>cocina</v>
      </c>
      <c r="I630" s="24" t="n">
        <f aca="false">IFERROR(__xludf.dummyfunction("""COMPUTED_VALUE"""),5700)</f>
        <v>5700</v>
      </c>
      <c r="K630" s="0" t="str">
        <f aca="false">IF(D630,"{""sku"":"""&amp;B630&amp;""", ""costo"":"&amp;C630&amp;", ""grupo"":"""&amp;A630&amp;""", ""lote"":"&amp;D630&amp;", ""tiempo"":"&amp;E630&amp;", "&amp;F630&amp;", ""vencimiento"":"&amp;G630&amp;IF(I630,", ""precio"":"&amp;I630,)&amp;", ""tipo"":"""&amp;H630&amp;"""},",)</f>
        <v>{"sku":"10012", "costo":10, "grupo":"9", "lote":1, "tiempo":20, "formula":[{"sku":"1201","req":1},{"sku":"1106","req":4},{"sku":"1110","req":1},{"sku":"1112","req":1},{"sku":"1108","req":1},{"sku":"1116","req":1}], "vencimiento":1, "precio":5700, "tipo":"cocina"},</v>
      </c>
    </row>
    <row r="631" customFormat="false" ht="13" hidden="false" customHeight="false" outlineLevel="0" collapsed="false">
      <c r="A631" s="17" t="n">
        <v>9</v>
      </c>
      <c r="B631" s="0" t="n">
        <f aca="false">IFERROR(__xludf.dummyfunction("""COMPUTED_VALUE"""),10013)</f>
        <v>10013</v>
      </c>
      <c r="C631" s="24" t="n">
        <f aca="false">IFERROR(__xludf.dummyfunction("""COMPUTED_VALUE"""),10)</f>
        <v>10</v>
      </c>
      <c r="D631" s="0" t="n">
        <f aca="false">IFERROR(__xludf.dummyfunction("""COMPUTED_VALUE"""),1)</f>
        <v>1</v>
      </c>
      <c r="E631" s="0" t="n">
        <f aca="false">IFERROR(__xludf.dummyfunction("""COMPUTED_VALUE"""),10)</f>
        <v>10</v>
      </c>
      <c r="F631" s="0" t="str">
        <f aca="false">IFERROR(__xludf.dummyfunction("filter(Formulas!$C:$C,Formulas!$A:$A=B631)"),"""formula"":[{""sku"":""1201"",""req"":1},{""sku"":""1106"",""req"":4},{""sku"":""1110"",""req"":1},{""sku"":""1112"",""req"":1},{""sku"":""1116"",""req"":1}]")</f>
        <v>"formula":[{"sku":"1201","req":1},{"sku":"1106","req":4},{"sku":"1110","req":1},{"sku":"1112","req":1},{"sku":"1116","req":1}]</v>
      </c>
      <c r="G631" s="0" t="n">
        <f aca="false">IFERROR(__xludf.dummyfunction("""COMPUTED_VALUE"""),1)</f>
        <v>1</v>
      </c>
      <c r="H631" s="21" t="str">
        <f aca="false">IFERROR(__xludf.dummyfunction("IF(D631,filter(Productos!AC:AC,Productos!A:A=B631),)"),"cocina")</f>
        <v>cocina</v>
      </c>
      <c r="I631" s="24" t="n">
        <f aca="false">IFERROR(__xludf.dummyfunction("""COMPUTED_VALUE"""),5700)</f>
        <v>5700</v>
      </c>
      <c r="K631" s="0" t="str">
        <f aca="false">IF(D631,"{""sku"":"""&amp;B631&amp;""", ""costo"":"&amp;C631&amp;", ""grupo"":"""&amp;A631&amp;""", ""lote"":"&amp;D631&amp;", ""tiempo"":"&amp;E631&amp;", "&amp;F631&amp;", ""vencimiento"":"&amp;G631&amp;IF(I631,", ""precio"":"&amp;I631,)&amp;", ""tipo"":"""&amp;H631&amp;"""},",)</f>
        <v>{"sku":"10013", "costo":10, "grupo":"9", "lote":1, "tiempo":10, "formula":[{"sku":"1201","req":1},{"sku":"1106","req":4},{"sku":"1110","req":1},{"sku":"1112","req":1},{"sku":"1116","req":1}], "vencimiento":1, "precio":5700, "tipo":"cocina"},</v>
      </c>
    </row>
    <row r="632" customFormat="false" ht="13" hidden="false" customHeight="false" outlineLevel="0" collapsed="false">
      <c r="A632" s="16" t="n">
        <v>9</v>
      </c>
      <c r="B632" s="0" t="n">
        <f aca="false">IFERROR(__xludf.dummyfunction("""COMPUTED_VALUE"""),10014)</f>
        <v>10014</v>
      </c>
      <c r="C632" s="24" t="n">
        <f aca="false">IFERROR(__xludf.dummyfunction("""COMPUTED_VALUE"""),10)</f>
        <v>10</v>
      </c>
      <c r="D632" s="0" t="n">
        <f aca="false">IFERROR(__xludf.dummyfunction("""COMPUTED_VALUE"""),1)</f>
        <v>1</v>
      </c>
      <c r="E632" s="0" t="n">
        <f aca="false">IFERROR(__xludf.dummyfunction("""COMPUTED_VALUE"""),10)</f>
        <v>10</v>
      </c>
      <c r="F632" s="0" t="str">
        <f aca="false">IFERROR(__xludf.dummyfunction("filter(Formulas!$C:$C,Formulas!$A:$A=B632)"),"""formula"":[{""sku"":""1201"",""req"":1},{""sku"":""1105"",""req"":1},{""sku"":""1110"",""req"":1},{""sku"":""1112"",""req"":1},{""sku"":""1116"",""req"":1}]")</f>
        <v>"formula":[{"sku":"1201","req":1},{"sku":"1105","req":1},{"sku":"1110","req":1},{"sku":"1112","req":1},{"sku":"1116","req":1}]</v>
      </c>
      <c r="G632" s="0" t="n">
        <f aca="false">IFERROR(__xludf.dummyfunction("""COMPUTED_VALUE"""),1)</f>
        <v>1</v>
      </c>
      <c r="H632" s="21" t="str">
        <f aca="false">IFERROR(__xludf.dummyfunction("IF(D632,filter(Productos!AC:AC,Productos!A:A=B632),)"),"cocina")</f>
        <v>cocina</v>
      </c>
      <c r="I632" s="24" t="n">
        <f aca="false">IFERROR(__xludf.dummyfunction("""COMPUTED_VALUE"""),4900)</f>
        <v>4900</v>
      </c>
      <c r="K632" s="0" t="str">
        <f aca="false">IF(D632,"{""sku"":"""&amp;B632&amp;""", ""costo"":"&amp;C632&amp;", ""grupo"":"""&amp;A632&amp;""", ""lote"":"&amp;D632&amp;", ""tiempo"":"&amp;E632&amp;", "&amp;F632&amp;", ""vencimiento"":"&amp;G632&amp;IF(I632,", ""precio"":"&amp;I632,)&amp;", ""tipo"":"""&amp;H632&amp;"""},",)</f>
        <v>{"sku":"10014", "costo":10, "grupo":"9", "lote":1, "tiempo":10, "formula":[{"sku":"1201","req":1},{"sku":"1105","req":1},{"sku":"1110","req":1},{"sku":"1112","req":1},{"sku":"1116","req":1}], "vencimiento":1, "precio":4900, "tipo":"cocina"},</v>
      </c>
    </row>
    <row r="633" customFormat="false" ht="13" hidden="false" customHeight="false" outlineLevel="0" collapsed="false">
      <c r="A633" s="17" t="n">
        <v>9</v>
      </c>
      <c r="B633" s="0" t="n">
        <f aca="false">IFERROR(__xludf.dummyfunction("""COMPUTED_VALUE"""),10015)</f>
        <v>10015</v>
      </c>
      <c r="C633" s="24" t="n">
        <f aca="false">IFERROR(__xludf.dummyfunction("""COMPUTED_VALUE"""),10)</f>
        <v>10</v>
      </c>
      <c r="D633" s="0" t="n">
        <f aca="false">IFERROR(__xludf.dummyfunction("""COMPUTED_VALUE"""),1)</f>
        <v>1</v>
      </c>
      <c r="E633" s="0" t="n">
        <f aca="false">IFERROR(__xludf.dummyfunction("""COMPUTED_VALUE"""),20)</f>
        <v>20</v>
      </c>
      <c r="F633" s="0" t="str">
        <f aca="false">IFERROR(__xludf.dummyfunction("filter(Formulas!$C:$C,Formulas!$A:$A=B633)"),"""formula"":[{""sku"":""1201"",""req"":1},{""sku"":""1109"",""req"":1},{""sku"":""1115"",""req"":1},{""sku"":""1110"",""req"":1},{""sku"":""1112"",""req"":1},{""sku"":""1116"",""req"":1}]")</f>
        <v>"formula":[{"sku":"1201","req":1},{"sku":"1109","req":1},{"sku":"1115","req":1},{"sku":"1110","req":1},{"sku":"1112","req":1},{"sku":"1116","req":1}]</v>
      </c>
      <c r="G633" s="0" t="n">
        <f aca="false">IFERROR(__xludf.dummyfunction("""COMPUTED_VALUE"""),1)</f>
        <v>1</v>
      </c>
      <c r="H633" s="21" t="str">
        <f aca="false">IFERROR(__xludf.dummyfunction("IF(D633,filter(Productos!AC:AC,Productos!A:A=B633),)"),"cocina")</f>
        <v>cocina</v>
      </c>
      <c r="I633" s="24" t="n">
        <f aca="false">IFERROR(__xludf.dummyfunction("""COMPUTED_VALUE"""),5700)</f>
        <v>5700</v>
      </c>
      <c r="K633" s="0" t="str">
        <f aca="false">IF(D633,"{""sku"":"""&amp;B633&amp;""", ""costo"":"&amp;C633&amp;", ""grupo"":"""&amp;A633&amp;""", ""lote"":"&amp;D633&amp;", ""tiempo"":"&amp;E633&amp;", "&amp;F633&amp;", ""vencimiento"":"&amp;G633&amp;IF(I633,", ""precio"":"&amp;I633,)&amp;", ""tipo"":"""&amp;H633&amp;"""},",)</f>
        <v>{"sku":"10015", "costo":10, "grupo":"9", "lote":1, "tiempo":20, "formula":[{"sku":"1201","req":1},{"sku":"1109","req":1},{"sku":"1115","req":1},{"sku":"1110","req":1},{"sku":"1112","req":1},{"sku":"1116","req":1}], "vencimiento":1, "precio":5700, "tipo":"cocina"},</v>
      </c>
    </row>
    <row r="634" customFormat="false" ht="13" hidden="false" customHeight="false" outlineLevel="0" collapsed="false">
      <c r="A634" s="16" t="n">
        <v>9</v>
      </c>
      <c r="B634" s="0" t="n">
        <f aca="false">IFERROR(__xludf.dummyfunction("""COMPUTED_VALUE"""),10016)</f>
        <v>10016</v>
      </c>
      <c r="C634" s="24" t="n">
        <f aca="false">IFERROR(__xludf.dummyfunction("""COMPUTED_VALUE"""),10)</f>
        <v>10</v>
      </c>
      <c r="D634" s="0" t="n">
        <f aca="false">IFERROR(__xludf.dummyfunction("""COMPUTED_VALUE"""),1)</f>
        <v>1</v>
      </c>
      <c r="E634" s="0" t="n">
        <f aca="false">IFERROR(__xludf.dummyfunction("""COMPUTED_VALUE"""),20)</f>
        <v>20</v>
      </c>
      <c r="F634" s="0" t="str">
        <f aca="false">IFERROR(__xludf.dummyfunction("filter(Formulas!$C:$C,Formulas!$A:$A=B634)"),"""formula"":[{""sku"":""1201"",""req"":1},{""sku"":""1106"",""req"":4},{""sku"":""1110"",""req"":1},{""sku"":""1112"",""req"":1},{""sku"":""1107"",""req"":1},{""sku"":""1116"",""req"":1}]")</f>
        <v>"formula":[{"sku":"1201","req":1},{"sku":"1106","req":4},{"sku":"1110","req":1},{"sku":"1112","req":1},{"sku":"1107","req":1},{"sku":"1116","req":1}]</v>
      </c>
      <c r="G634" s="0" t="n">
        <f aca="false">IFERROR(__xludf.dummyfunction("""COMPUTED_VALUE"""),1)</f>
        <v>1</v>
      </c>
      <c r="H634" s="21" t="str">
        <f aca="false">IFERROR(__xludf.dummyfunction("IF(D634,filter(Productos!AC:AC,Productos!A:A=B634),)"),"cocina")</f>
        <v>cocina</v>
      </c>
      <c r="I634" s="24" t="n">
        <f aca="false">IFERROR(__xludf.dummyfunction("""COMPUTED_VALUE"""),5700)</f>
        <v>5700</v>
      </c>
      <c r="K634" s="0" t="str">
        <f aca="false">IF(D634,"{""sku"":"""&amp;B634&amp;""", ""costo"":"&amp;C634&amp;", ""grupo"":"""&amp;A634&amp;""", ""lote"":"&amp;D634&amp;", ""tiempo"":"&amp;E634&amp;", "&amp;F634&amp;", ""vencimiento"":"&amp;G634&amp;IF(I634,", ""precio"":"&amp;I634,)&amp;", ""tipo"":"""&amp;H634&amp;"""},",)</f>
        <v>{"sku":"10016", "costo":10, "grupo":"9", "lote":1, "tiempo":20, "formula":[{"sku":"1201","req":1},{"sku":"1106","req":4},{"sku":"1110","req":1},{"sku":"1112","req":1},{"sku":"1107","req":1},{"sku":"1116","req":1}], "vencimiento":1, "precio":5700, "tipo":"cocina"},</v>
      </c>
    </row>
    <row r="635" customFormat="false" ht="13" hidden="false" customHeight="false" outlineLevel="0" collapsed="false">
      <c r="A635" s="17" t="n">
        <v>9</v>
      </c>
      <c r="B635" s="0" t="n">
        <f aca="false">IFERROR(__xludf.dummyfunction("""COMPUTED_VALUE"""),10017)</f>
        <v>10017</v>
      </c>
      <c r="C635" s="24" t="n">
        <f aca="false">IFERROR(__xludf.dummyfunction("""COMPUTED_VALUE"""),10)</f>
        <v>10</v>
      </c>
      <c r="D635" s="0" t="n">
        <f aca="false">IFERROR(__xludf.dummyfunction("""COMPUTED_VALUE"""),1)</f>
        <v>1</v>
      </c>
      <c r="E635" s="0" t="n">
        <f aca="false">IFERROR(__xludf.dummyfunction("""COMPUTED_VALUE"""),10)</f>
        <v>10</v>
      </c>
      <c r="F635" s="0" t="str">
        <f aca="false">IFERROR(__xludf.dummyfunction("filter(Formulas!$C:$C,Formulas!$A:$A=B635)"),"""formula"":[{""sku"":""1201"",""req"":1},{""sku"":""1110"",""req"":1},{""sku"":""1112"",""req"":1},{""sku"":""1107"",""req"":1},{""sku"":""1116"",""req"":1}]")</f>
        <v>"formula":[{"sku":"1201","req":1},{"sku":"1110","req":1},{"sku":"1112","req":1},{"sku":"1107","req":1},{"sku":"1116","req":1}]</v>
      </c>
      <c r="G635" s="0" t="n">
        <f aca="false">IFERROR(__xludf.dummyfunction("""COMPUTED_VALUE"""),1)</f>
        <v>1</v>
      </c>
      <c r="H635" s="21" t="str">
        <f aca="false">IFERROR(__xludf.dummyfunction("IF(D635,filter(Productos!AC:AC,Productos!A:A=B635),)"),"cocina")</f>
        <v>cocina</v>
      </c>
      <c r="I635" s="24" t="n">
        <f aca="false">IFERROR(__xludf.dummyfunction("""COMPUTED_VALUE"""),5700)</f>
        <v>5700</v>
      </c>
      <c r="K635" s="0" t="str">
        <f aca="false">IF(D635,"{""sku"":"""&amp;B635&amp;""", ""costo"":"&amp;C635&amp;", ""grupo"":"""&amp;A635&amp;""", ""lote"":"&amp;D635&amp;", ""tiempo"":"&amp;E635&amp;", "&amp;F635&amp;", ""vencimiento"":"&amp;G635&amp;IF(I635,", ""precio"":"&amp;I635,)&amp;", ""tipo"":"""&amp;H635&amp;"""},",)</f>
        <v>{"sku":"10017", "costo":10, "grupo":"9", "lote":1, "tiempo":10, "formula":[{"sku":"1201","req":1},{"sku":"1110","req":1},{"sku":"1112","req":1},{"sku":"1107","req":1},{"sku":"1116","req":1}], "vencimiento":1, "precio":5700, "tipo":"cocina"},</v>
      </c>
    </row>
    <row r="636" customFormat="false" ht="13" hidden="false" customHeight="false" outlineLevel="0" collapsed="false">
      <c r="A636" s="16" t="n">
        <v>9</v>
      </c>
      <c r="B636" s="0" t="n">
        <f aca="false">IFERROR(__xludf.dummyfunction("""COMPUTED_VALUE"""),10018)</f>
        <v>10018</v>
      </c>
      <c r="C636" s="24" t="n">
        <f aca="false">IFERROR(__xludf.dummyfunction("""COMPUTED_VALUE"""),10)</f>
        <v>10</v>
      </c>
      <c r="D636" s="0" t="n">
        <f aca="false">IFERROR(__xludf.dummyfunction("""COMPUTED_VALUE"""),1)</f>
        <v>1</v>
      </c>
      <c r="E636" s="0" t="n">
        <f aca="false">IFERROR(__xludf.dummyfunction("""COMPUTED_VALUE"""),10)</f>
        <v>10</v>
      </c>
      <c r="F636" s="0" t="str">
        <f aca="false">IFERROR(__xludf.dummyfunction("filter(Formulas!$C:$C,Formulas!$A:$A=B636)"),"""formula"":[{""sku"":""1201"",""req"":1},{""sku"":""1105"",""req"":1},{""sku"":""1112"",""req"":1},{""sku"":""1407"",""req"":1},{""sku"":""1116"",""req"":1}]")</f>
        <v>"formula":[{"sku":"1201","req":1},{"sku":"1105","req":1},{"sku":"1112","req":1},{"sku":"1407","req":1},{"sku":"1116","req":1}]</v>
      </c>
      <c r="G636" s="0" t="n">
        <f aca="false">IFERROR(__xludf.dummyfunction("""COMPUTED_VALUE"""),1)</f>
        <v>1</v>
      </c>
      <c r="H636" s="21" t="str">
        <f aca="false">IFERROR(__xludf.dummyfunction("IF(D636,filter(Productos!AC:AC,Productos!A:A=B636),)"),"cocina")</f>
        <v>cocina</v>
      </c>
      <c r="I636" s="24" t="n">
        <f aca="false">IFERROR(__xludf.dummyfunction("""COMPUTED_VALUE"""),5700)</f>
        <v>5700</v>
      </c>
      <c r="K636" s="0" t="str">
        <f aca="false">IF(D636,"{""sku"":"""&amp;B636&amp;""", ""costo"":"&amp;C636&amp;", ""grupo"":"""&amp;A636&amp;""", ""lote"":"&amp;D636&amp;", ""tiempo"":"&amp;E636&amp;", "&amp;F636&amp;", ""vencimiento"":"&amp;G636&amp;IF(I636,", ""precio"":"&amp;I636,)&amp;", ""tipo"":"""&amp;H636&amp;"""},",)</f>
        <v>{"sku":"10018", "costo":10, "grupo":"9", "lote":1, "tiempo":10, "formula":[{"sku":"1201","req":1},{"sku":"1105","req":1},{"sku":"1112","req":1},{"sku":"1407","req":1},{"sku":"1116","req":1}], "vencimiento":1, "precio":5700, "tipo":"cocina"},</v>
      </c>
    </row>
    <row r="637" customFormat="false" ht="13" hidden="false" customHeight="false" outlineLevel="0" collapsed="false">
      <c r="A637" s="17" t="n">
        <v>9</v>
      </c>
      <c r="B637" s="0" t="n">
        <f aca="false">IFERROR(__xludf.dummyfunction("""COMPUTED_VALUE"""),10019)</f>
        <v>10019</v>
      </c>
      <c r="C637" s="24" t="n">
        <f aca="false">IFERROR(__xludf.dummyfunction("""COMPUTED_VALUE"""),10)</f>
        <v>10</v>
      </c>
      <c r="D637" s="0" t="n">
        <f aca="false">IFERROR(__xludf.dummyfunction("""COMPUTED_VALUE"""),1)</f>
        <v>1</v>
      </c>
      <c r="E637" s="0" t="n">
        <f aca="false">IFERROR(__xludf.dummyfunction("""COMPUTED_VALUE"""),10)</f>
        <v>10</v>
      </c>
      <c r="F637" s="0" t="str">
        <f aca="false">IFERROR(__xludf.dummyfunction("filter(Formulas!$C:$C,Formulas!$A:$A=B637)"),"""formula"":[{""sku"":""1201"",""req"":1},{""sku"":""1106"",""req"":4},{""sku"":""1210"",""req"":1},{""sku"":""1116"",""req"":1},{""sku"":""1407"",""req"":1}]")</f>
        <v>"formula":[{"sku":"1201","req":1},{"sku":"1106","req":4},{"sku":"1210","req":1},{"sku":"1116","req":1},{"sku":"1407","req":1}]</v>
      </c>
      <c r="G637" s="0" t="n">
        <f aca="false">IFERROR(__xludf.dummyfunction("""COMPUTED_VALUE"""),1)</f>
        <v>1</v>
      </c>
      <c r="H637" s="21" t="str">
        <f aca="false">IFERROR(__xludf.dummyfunction("IF(D637,filter(Productos!AC:AC,Productos!A:A=B637),)"),"cocina")</f>
        <v>cocina</v>
      </c>
      <c r="I637" s="24" t="n">
        <f aca="false">IFERROR(__xludf.dummyfunction("""COMPUTED_VALUE"""),5700)</f>
        <v>5700</v>
      </c>
      <c r="K637" s="0" t="str">
        <f aca="false">IF(D637,"{""sku"":"""&amp;B637&amp;""", ""costo"":"&amp;C637&amp;", ""grupo"":"""&amp;A637&amp;""", ""lote"":"&amp;D637&amp;", ""tiempo"":"&amp;E637&amp;", "&amp;F637&amp;", ""vencimiento"":"&amp;G637&amp;IF(I637,", ""precio"":"&amp;I637,)&amp;", ""tipo"":"""&amp;H637&amp;"""},",)</f>
        <v>{"sku":"10019", "costo":10, "grupo":"9", "lote":1, "tiempo":10, "formula":[{"sku":"1201","req":1},{"sku":"1106","req":4},{"sku":"1210","req":1},{"sku":"1116","req":1},{"sku":"1407","req":1}], "vencimiento":1, "precio":5700, "tipo":"cocina"},</v>
      </c>
    </row>
    <row r="638" customFormat="false" ht="13" hidden="false" customHeight="false" outlineLevel="0" collapsed="false">
      <c r="A638" s="16" t="n">
        <v>9</v>
      </c>
      <c r="B638" s="0" t="n">
        <f aca="false">IFERROR(__xludf.dummyfunction("""COMPUTED_VALUE"""),10020)</f>
        <v>10020</v>
      </c>
      <c r="C638" s="24" t="n">
        <f aca="false">IFERROR(__xludf.dummyfunction("""COMPUTED_VALUE"""),10)</f>
        <v>10</v>
      </c>
      <c r="D638" s="0" t="n">
        <f aca="false">IFERROR(__xludf.dummyfunction("""COMPUTED_VALUE"""),1)</f>
        <v>1</v>
      </c>
      <c r="E638" s="0" t="n">
        <f aca="false">IFERROR(__xludf.dummyfunction("""COMPUTED_VALUE"""),20)</f>
        <v>20</v>
      </c>
      <c r="F638" s="0" t="str">
        <f aca="false">IFERROR(__xludf.dummyfunction("filter(Formulas!$C:$C,Formulas!$A:$A=B638)"),"""formula"":[{""sku"":""1201"",""req"":1},{""sku"":""1116"",""req"":1},{""sku"":""1106"",""req"":4},{""sku"":""1112"",""req"":1},{""sku"":""1114"",""req"":1},{""sku"":""1407"",""req"":1}]")</f>
        <v>"formula":[{"sku":"1201","req":1},{"sku":"1116","req":1},{"sku":"1106","req":4},{"sku":"1112","req":1},{"sku":"1114","req":1},{"sku":"1407","req":1}]</v>
      </c>
      <c r="G638" s="0" t="n">
        <f aca="false">IFERROR(__xludf.dummyfunction("""COMPUTED_VALUE"""),1)</f>
        <v>1</v>
      </c>
      <c r="H638" s="21" t="str">
        <f aca="false">IFERROR(__xludf.dummyfunction("IF(D638,filter(Productos!AC:AC,Productos!A:A=B638),)"),"cocina")</f>
        <v>cocina</v>
      </c>
      <c r="I638" s="24" t="n">
        <f aca="false">IFERROR(__xludf.dummyfunction("""COMPUTED_VALUE"""),5900)</f>
        <v>5900</v>
      </c>
      <c r="K638" s="0" t="str">
        <f aca="false">IF(D638,"{""sku"":"""&amp;B638&amp;""", ""costo"":"&amp;C638&amp;", ""grupo"":"""&amp;A638&amp;""", ""lote"":"&amp;D638&amp;", ""tiempo"":"&amp;E638&amp;", "&amp;F638&amp;", ""vencimiento"":"&amp;G638&amp;IF(I638,", ""precio"":"&amp;I638,)&amp;", ""tipo"":"""&amp;H638&amp;"""},",)</f>
        <v>{"sku":"10020", "costo":10, "grupo":"9", "lote":1, "tiempo":20, "formula":[{"sku":"1201","req":1},{"sku":"1116","req":1},{"sku":"1106","req":4},{"sku":"1112","req":1},{"sku":"1114","req":1},{"sku":"1407","req":1}], "vencimiento":1, "precio":5900, "tipo":"cocina"},</v>
      </c>
    </row>
    <row r="639" customFormat="false" ht="13" hidden="false" customHeight="false" outlineLevel="0" collapsed="false">
      <c r="A639" s="17" t="n">
        <v>9</v>
      </c>
      <c r="B639" s="0" t="n">
        <f aca="false">IFERROR(__xludf.dummyfunction("""COMPUTED_VALUE"""),10021)</f>
        <v>10021</v>
      </c>
      <c r="C639" s="24" t="n">
        <f aca="false">IFERROR(__xludf.dummyfunction("""COMPUTED_VALUE"""),10)</f>
        <v>10</v>
      </c>
      <c r="D639" s="0" t="n">
        <f aca="false">IFERROR(__xludf.dummyfunction("""COMPUTED_VALUE"""),1)</f>
        <v>1</v>
      </c>
      <c r="E639" s="0" t="n">
        <f aca="false">IFERROR(__xludf.dummyfunction("""COMPUTED_VALUE"""),10)</f>
        <v>10</v>
      </c>
      <c r="F639" s="0" t="str">
        <f aca="false">IFERROR(__xludf.dummyfunction("filter(Formulas!$C:$C,Formulas!$A:$A=B639)"),"""formula"":[{""sku"":""1201"",""req"":1},{""sku"":""1116"",""req"":1},{""sku"":""1109"",""req"":1},{""sku"":""1114"",""req"":1},{""sku"":""1407"",""req"":1}]")</f>
        <v>"formula":[{"sku":"1201","req":1},{"sku":"1116","req":1},{"sku":"1109","req":1},{"sku":"1114","req":1},{"sku":"1407","req":1}]</v>
      </c>
      <c r="G639" s="0" t="n">
        <f aca="false">IFERROR(__xludf.dummyfunction("""COMPUTED_VALUE"""),1)</f>
        <v>1</v>
      </c>
      <c r="H639" s="21" t="str">
        <f aca="false">IFERROR(__xludf.dummyfunction("IF(D639,filter(Productos!AC:AC,Productos!A:A=B639),)"),"cocina")</f>
        <v>cocina</v>
      </c>
      <c r="I639" s="24" t="n">
        <f aca="false">IFERROR(__xludf.dummyfunction("""COMPUTED_VALUE"""),5900)</f>
        <v>5900</v>
      </c>
      <c r="K639" s="0" t="str">
        <f aca="false">IF(D639,"{""sku"":"""&amp;B639&amp;""", ""costo"":"&amp;C639&amp;", ""grupo"":"""&amp;A639&amp;""", ""lote"":"&amp;D639&amp;", ""tiempo"":"&amp;E639&amp;", "&amp;F639&amp;", ""vencimiento"":"&amp;G639&amp;IF(I639,", ""precio"":"&amp;I639,)&amp;", ""tipo"":"""&amp;H639&amp;"""},",)</f>
        <v>{"sku":"10021", "costo":10, "grupo":"9", "lote":1, "tiempo":10, "formula":[{"sku":"1201","req":1},{"sku":"1116","req":1},{"sku":"1109","req":1},{"sku":"1114","req":1},{"sku":"1407","req":1}], "vencimiento":1, "precio":5900, "tipo":"cocina"},</v>
      </c>
    </row>
    <row r="640" customFormat="false" ht="13" hidden="false" customHeight="false" outlineLevel="0" collapsed="false">
      <c r="A640" s="16" t="n">
        <v>9</v>
      </c>
      <c r="B640" s="0" t="n">
        <f aca="false">IFERROR(__xludf.dummyfunction("""COMPUTED_VALUE"""),10022)</f>
        <v>10022</v>
      </c>
      <c r="C640" s="24" t="n">
        <f aca="false">IFERROR(__xludf.dummyfunction("""COMPUTED_VALUE"""),10)</f>
        <v>10</v>
      </c>
      <c r="D640" s="0" t="n">
        <f aca="false">IFERROR(__xludf.dummyfunction("""COMPUTED_VALUE"""),1)</f>
        <v>1</v>
      </c>
      <c r="E640" s="0" t="n">
        <f aca="false">IFERROR(__xludf.dummyfunction("""COMPUTED_VALUE"""),20)</f>
        <v>20</v>
      </c>
      <c r="F640" s="0" t="str">
        <f aca="false">IFERROR(__xludf.dummyfunction("filter(Formulas!$C:$C,Formulas!$A:$A=B640)"),"""formula"":[{""sku"":""1201"",""req"":1},{""sku"":""1116"",""req"":1},{""sku"":""1107"",""req"":1},{""sku"":""1112"",""req"":1},{""sku"":""1210"",""req"":1},{""sku"":""1215"",""req"":1}]")</f>
        <v>"formula":[{"sku":"1201","req":1},{"sku":"1116","req":1},{"sku":"1107","req":1},{"sku":"1112","req":1},{"sku":"1210","req":1},{"sku":"1215","req":1}]</v>
      </c>
      <c r="G640" s="0" t="n">
        <f aca="false">IFERROR(__xludf.dummyfunction("""COMPUTED_VALUE"""),1)</f>
        <v>1</v>
      </c>
      <c r="H640" s="21" t="str">
        <f aca="false">IFERROR(__xludf.dummyfunction("IF(D640,filter(Productos!AC:AC,Productos!A:A=B640),)"),"cocina")</f>
        <v>cocina</v>
      </c>
      <c r="I640" s="24" t="n">
        <f aca="false">IFERROR(__xludf.dummyfunction("""COMPUTED_VALUE"""),5500)</f>
        <v>5500</v>
      </c>
      <c r="K640" s="0" t="str">
        <f aca="false">IF(D640,"{""sku"":"""&amp;B640&amp;""", ""costo"":"&amp;C640&amp;", ""grupo"":"""&amp;A640&amp;""", ""lote"":"&amp;D640&amp;", ""tiempo"":"&amp;E640&amp;", "&amp;F640&amp;", ""vencimiento"":"&amp;G640&amp;IF(I640,", ""precio"":"&amp;I640,)&amp;", ""tipo"":"""&amp;H640&amp;"""},",)</f>
        <v>{"sku":"10022", "costo":10, "grupo":"9", "lote":1, "tiempo":20, "formula":[{"sku":"1201","req":1},{"sku":"1116","req":1},{"sku":"1107","req":1},{"sku":"1112","req":1},{"sku":"1210","req":1},{"sku":"1215","req":1}], "vencimiento":1, "precio":5500, "tipo":"cocina"},</v>
      </c>
    </row>
    <row r="641" customFormat="false" ht="13" hidden="false" customHeight="false" outlineLevel="0" collapsed="false">
      <c r="A641" s="17" t="n">
        <v>9</v>
      </c>
      <c r="B641" s="0" t="n">
        <f aca="false">IFERROR(__xludf.dummyfunction("""COMPUTED_VALUE"""),10023)</f>
        <v>10023</v>
      </c>
      <c r="C641" s="24" t="n">
        <f aca="false">IFERROR(__xludf.dummyfunction("""COMPUTED_VALUE"""),10)</f>
        <v>10</v>
      </c>
      <c r="D641" s="0" t="n">
        <f aca="false">IFERROR(__xludf.dummyfunction("""COMPUTED_VALUE"""),1)</f>
        <v>1</v>
      </c>
      <c r="E641" s="0" t="n">
        <f aca="false">IFERROR(__xludf.dummyfunction("""COMPUTED_VALUE"""),20)</f>
        <v>20</v>
      </c>
      <c r="F641" s="0" t="str">
        <f aca="false">IFERROR(__xludf.dummyfunction("filter(Formulas!$C:$C,Formulas!$A:$A=B641)"),"""formula"":[{""sku"":""1201"",""req"":1},{""sku"":""1116"",""req"":1},{""sku"":""1109"",""req"":1},{""sku"":""1112"",""req"":1},{""sku"":""1210"",""req"":1},{""sku"":""1215"",""req"":1}]")</f>
        <v>"formula":[{"sku":"1201","req":1},{"sku":"1116","req":1},{"sku":"1109","req":1},{"sku":"1112","req":1},{"sku":"1210","req":1},{"sku":"1215","req":1}]</v>
      </c>
      <c r="G641" s="0" t="n">
        <f aca="false">IFERROR(__xludf.dummyfunction("""COMPUTED_VALUE"""),1)</f>
        <v>1</v>
      </c>
      <c r="H641" s="21" t="str">
        <f aca="false">IFERROR(__xludf.dummyfunction("IF(D641,filter(Productos!AC:AC,Productos!A:A=B641),)"),"cocina")</f>
        <v>cocina</v>
      </c>
      <c r="I641" s="24" t="n">
        <f aca="false">IFERROR(__xludf.dummyfunction("""COMPUTED_VALUE"""),5500)</f>
        <v>5500</v>
      </c>
      <c r="K641" s="0" t="str">
        <f aca="false">IF(D641,"{""sku"":"""&amp;B641&amp;""", ""costo"":"&amp;C641&amp;", ""grupo"":"""&amp;A641&amp;""", ""lote"":"&amp;D641&amp;", ""tiempo"":"&amp;E641&amp;", "&amp;F641&amp;", ""vencimiento"":"&amp;G641&amp;IF(I641,", ""precio"":"&amp;I641,)&amp;", ""tipo"":"""&amp;H641&amp;"""},",)</f>
        <v>{"sku":"10023", "costo":10, "grupo":"9", "lote":1, "tiempo":20, "formula":[{"sku":"1201","req":1},{"sku":"1116","req":1},{"sku":"1109","req":1},{"sku":"1112","req":1},{"sku":"1210","req":1},{"sku":"1215","req":1}], "vencimiento":1, "precio":5500, "tipo":"cocina"},</v>
      </c>
    </row>
    <row r="642" customFormat="false" ht="13" hidden="false" customHeight="false" outlineLevel="0" collapsed="false">
      <c r="A642" s="16" t="n">
        <v>9</v>
      </c>
      <c r="B642" s="0" t="n">
        <f aca="false">IFERROR(__xludf.dummyfunction("""COMPUTED_VALUE"""),10024)</f>
        <v>10024</v>
      </c>
      <c r="C642" s="24" t="n">
        <f aca="false">IFERROR(__xludf.dummyfunction("""COMPUTED_VALUE"""),10)</f>
        <v>10</v>
      </c>
      <c r="D642" s="0" t="n">
        <f aca="false">IFERROR(__xludf.dummyfunction("""COMPUTED_VALUE"""),1)</f>
        <v>1</v>
      </c>
      <c r="E642" s="0" t="n">
        <f aca="false">IFERROR(__xludf.dummyfunction("""COMPUTED_VALUE"""),20)</f>
        <v>20</v>
      </c>
      <c r="F642" s="0" t="str">
        <f aca="false">IFERROR(__xludf.dummyfunction("filter(Formulas!$C:$C,Formulas!$A:$A=B642)"),"""formula"":[{""sku"":""1201"",""req"":1},{""sku"":""1116"",""req"":1},{""sku"":""1210"",""req"":1},{""sku"":""1114"",""req"":1},{""sku"":""1115"",""req"":1},{""sku"":""1211"",""req"":1}]")</f>
        <v>"formula":[{"sku":"1201","req":1},{"sku":"1116","req":1},{"sku":"1210","req":1},{"sku":"1114","req":1},{"sku":"1115","req":1},{"sku":"1211","req":1}]</v>
      </c>
      <c r="G642" s="0" t="n">
        <f aca="false">IFERROR(__xludf.dummyfunction("""COMPUTED_VALUE"""),1)</f>
        <v>1</v>
      </c>
      <c r="H642" s="21" t="str">
        <f aca="false">IFERROR(__xludf.dummyfunction("IF(D642,filter(Productos!AC:AC,Productos!A:A=B642),)"),"cocina")</f>
        <v>cocina</v>
      </c>
      <c r="I642" s="24" t="n">
        <f aca="false">IFERROR(__xludf.dummyfunction("""COMPUTED_VALUE"""),4900)</f>
        <v>4900</v>
      </c>
      <c r="K642" s="0" t="str">
        <f aca="false">IF(D642,"{""sku"":"""&amp;B642&amp;""", ""costo"":"&amp;C642&amp;", ""grupo"":"""&amp;A642&amp;""", ""lote"":"&amp;D642&amp;", ""tiempo"":"&amp;E642&amp;", "&amp;F642&amp;", ""vencimiento"":"&amp;G642&amp;IF(I642,", ""precio"":"&amp;I642,)&amp;", ""tipo"":"""&amp;H642&amp;"""},",)</f>
        <v>{"sku":"10024", "costo":10, "grupo":"9", "lote":1, "tiempo":20, "formula":[{"sku":"1201","req":1},{"sku":"1116","req":1},{"sku":"1210","req":1},{"sku":"1114","req":1},{"sku":"1115","req":1},{"sku":"1211","req":1}], "vencimiento":1, "precio":4900, "tipo":"cocina"},</v>
      </c>
    </row>
    <row r="643" customFormat="false" ht="13" hidden="false" customHeight="false" outlineLevel="0" collapsed="false">
      <c r="A643" s="17" t="n">
        <v>9</v>
      </c>
      <c r="B643" s="0" t="n">
        <f aca="false">IFERROR(__xludf.dummyfunction("""COMPUTED_VALUE"""),10025)</f>
        <v>10025</v>
      </c>
      <c r="C643" s="24" t="n">
        <f aca="false">IFERROR(__xludf.dummyfunction("""COMPUTED_VALUE"""),10)</f>
        <v>10</v>
      </c>
      <c r="D643" s="0" t="n">
        <f aca="false">IFERROR(__xludf.dummyfunction("""COMPUTED_VALUE"""),1)</f>
        <v>1</v>
      </c>
      <c r="E643" s="0" t="n">
        <f aca="false">IFERROR(__xludf.dummyfunction("""COMPUTED_VALUE"""),20)</f>
        <v>20</v>
      </c>
      <c r="F643" s="0" t="str">
        <f aca="false">IFERROR(__xludf.dummyfunction("filter(Formulas!$C:$C,Formulas!$A:$A=B643)"),"""formula"":[{""sku"":""1201"",""req"":1},{""sku"":""1116"",""req"":1},{""sku"":""1210"",""req"":1},{""sku"":""1114"",""req"":1},{""sku"":""1115"",""req"":1},{""sku"":""1013"",""req"":5}]")</f>
        <v>"formula":[{"sku":"1201","req":1},{"sku":"1116","req":1},{"sku":"1210","req":1},{"sku":"1114","req":1},{"sku":"1115","req":1},{"sku":"1013","req":5}]</v>
      </c>
      <c r="G643" s="0" t="n">
        <f aca="false">IFERROR(__xludf.dummyfunction("""COMPUTED_VALUE"""),1)</f>
        <v>1</v>
      </c>
      <c r="H643" s="21" t="str">
        <f aca="false">IFERROR(__xludf.dummyfunction("IF(D643,filter(Productos!AC:AC,Productos!A:A=B643),)"),"cocina")</f>
        <v>cocina</v>
      </c>
      <c r="I643" s="24" t="n">
        <f aca="false">IFERROR(__xludf.dummyfunction("""COMPUTED_VALUE"""),4900)</f>
        <v>4900</v>
      </c>
      <c r="K643" s="0" t="str">
        <f aca="false">IF(D643,"{""sku"":"""&amp;B643&amp;""", ""costo"":"&amp;C643&amp;", ""grupo"":"""&amp;A643&amp;""", ""lote"":"&amp;D643&amp;", ""tiempo"":"&amp;E643&amp;", "&amp;F643&amp;", ""vencimiento"":"&amp;G643&amp;IF(I643,", ""precio"":"&amp;I643,)&amp;", ""tipo"":"""&amp;H643&amp;"""},",)</f>
        <v>{"sku":"10025", "costo":10, "grupo":"9", "lote":1, "tiempo":20, "formula":[{"sku":"1201","req":1},{"sku":"1116","req":1},{"sku":"1210","req":1},{"sku":"1114","req":1},{"sku":"1115","req":1},{"sku":"1013","req":5}], "vencimiento":1, "precio":4900, "tipo":"cocina"},</v>
      </c>
    </row>
    <row r="644" customFormat="false" ht="13" hidden="false" customHeight="false" outlineLevel="0" collapsed="false">
      <c r="A644" s="16" t="n">
        <v>9</v>
      </c>
      <c r="B644" s="0" t="n">
        <f aca="false">IFERROR(__xludf.dummyfunction("""COMPUTED_VALUE"""),20001)</f>
        <v>20001</v>
      </c>
      <c r="C644" s="24" t="n">
        <f aca="false">IFERROR(__xludf.dummyfunction("""COMPUTED_VALUE"""),10)</f>
        <v>10</v>
      </c>
      <c r="D644" s="0" t="n">
        <f aca="false">IFERROR(__xludf.dummyfunction("""COMPUTED_VALUE"""),1)</f>
        <v>1</v>
      </c>
      <c r="E644" s="0" t="n">
        <f aca="false">IFERROR(__xludf.dummyfunction("""COMPUTED_VALUE"""),10)</f>
        <v>10</v>
      </c>
      <c r="F644" s="0" t="str">
        <f aca="false">IFERROR(__xludf.dummyfunction("filter(Formulas!$C:$C,Formulas!$A:$A=B644)"),"""formula"":[{""sku"":""1301"",""req"":1},{""sku"":""1207"",""req"":1},{""sku"":""1310"",""req"":1},{""sku"":""1112"",""req"":1},{""sku"":""1216"",""req"":1}]")</f>
        <v>"formula":[{"sku":"1301","req":1},{"sku":"1207","req":1},{"sku":"1310","req":1},{"sku":"1112","req":1},{"sku":"1216","req":1}]</v>
      </c>
      <c r="G644" s="0" t="n">
        <f aca="false">IFERROR(__xludf.dummyfunction("""COMPUTED_VALUE"""),1)</f>
        <v>1</v>
      </c>
      <c r="H644" s="21" t="str">
        <f aca="false">IFERROR(__xludf.dummyfunction("IF(D644,filter(Productos!AC:AC,Productos!A:A=B644),)"),"cocina")</f>
        <v>cocina</v>
      </c>
      <c r="I644" s="24" t="n">
        <f aca="false">IFERROR(__xludf.dummyfunction("""COMPUTED_VALUE"""),2700)</f>
        <v>2700</v>
      </c>
      <c r="K644" s="0" t="str">
        <f aca="false">IF(D644,"{""sku"":"""&amp;B644&amp;""", ""costo"":"&amp;C644&amp;", ""grupo"":"""&amp;A644&amp;""", ""lote"":"&amp;D644&amp;", ""tiempo"":"&amp;E644&amp;", "&amp;F644&amp;", ""vencimiento"":"&amp;G644&amp;IF(I644,", ""precio"":"&amp;I644,)&amp;", ""tipo"":"""&amp;H644&amp;"""},",)</f>
        <v>{"sku":"20001", "costo":10, "grupo":"9", "lote":1, "tiempo":10, "formula":[{"sku":"1301","req":1},{"sku":"1207","req":1},{"sku":"1310","req":1},{"sku":"1112","req":1},{"sku":"1216","req":1}], "vencimiento":1, "precio":2700, "tipo":"cocina"},</v>
      </c>
    </row>
    <row r="645" customFormat="false" ht="13" hidden="false" customHeight="false" outlineLevel="0" collapsed="false">
      <c r="A645" s="17" t="n">
        <v>9</v>
      </c>
      <c r="B645" s="0" t="n">
        <f aca="false">IFERROR(__xludf.dummyfunction("""COMPUTED_VALUE"""),20002)</f>
        <v>20002</v>
      </c>
      <c r="C645" s="24" t="n">
        <f aca="false">IFERROR(__xludf.dummyfunction("""COMPUTED_VALUE"""),10)</f>
        <v>10</v>
      </c>
      <c r="D645" s="0" t="n">
        <f aca="false">IFERROR(__xludf.dummyfunction("""COMPUTED_VALUE"""),1)</f>
        <v>1</v>
      </c>
      <c r="E645" s="0" t="n">
        <f aca="false">IFERROR(__xludf.dummyfunction("""COMPUTED_VALUE"""),10)</f>
        <v>10</v>
      </c>
      <c r="F645" s="0" t="str">
        <f aca="false">IFERROR(__xludf.dummyfunction("filter(Formulas!$C:$C,Formulas!$A:$A=B645)"),"""formula"":[{""sku"":""1301"",""req"":1},{""sku"":""1216"",""req"":1},{""sku"":""1106"",""req"":4}]")</f>
        <v>"formula":[{"sku":"1301","req":1},{"sku":"1216","req":1},{"sku":"1106","req":4}]</v>
      </c>
      <c r="G645" s="0" t="n">
        <f aca="false">IFERROR(__xludf.dummyfunction("""COMPUTED_VALUE"""),1)</f>
        <v>1</v>
      </c>
      <c r="H645" s="21" t="str">
        <f aca="false">IFERROR(__xludf.dummyfunction("IF(D645,filter(Productos!AC:AC,Productos!A:A=B645),)"),"cocina")</f>
        <v>cocina</v>
      </c>
      <c r="I645" s="24" t="n">
        <f aca="false">IFERROR(__xludf.dummyfunction("""COMPUTED_VALUE"""),2700)</f>
        <v>2700</v>
      </c>
      <c r="K645" s="0" t="str">
        <f aca="false">IF(D645,"{""sku"":"""&amp;B645&amp;""", ""costo"":"&amp;C645&amp;", ""grupo"":"""&amp;A645&amp;""", ""lote"":"&amp;D645&amp;", ""tiempo"":"&amp;E645&amp;", "&amp;F645&amp;", ""vencimiento"":"&amp;G645&amp;IF(I645,", ""precio"":"&amp;I645,)&amp;", ""tipo"":"""&amp;H645&amp;"""},",)</f>
        <v>{"sku":"20002", "costo":10, "grupo":"9", "lote":1, "tiempo":10, "formula":[{"sku":"1301","req":1},{"sku":"1216","req":1},{"sku":"1106","req":4}], "vencimiento":1, "precio":2700, "tipo":"cocina"},</v>
      </c>
    </row>
    <row r="646" customFormat="false" ht="13" hidden="false" customHeight="false" outlineLevel="0" collapsed="false">
      <c r="A646" s="16" t="n">
        <v>9</v>
      </c>
      <c r="B646" s="0" t="n">
        <f aca="false">IFERROR(__xludf.dummyfunction("""COMPUTED_VALUE"""),20003)</f>
        <v>20003</v>
      </c>
      <c r="C646" s="24" t="n">
        <f aca="false">IFERROR(__xludf.dummyfunction("""COMPUTED_VALUE"""),10)</f>
        <v>10</v>
      </c>
      <c r="D646" s="0" t="n">
        <f aca="false">IFERROR(__xludf.dummyfunction("""COMPUTED_VALUE"""),1)</f>
        <v>1</v>
      </c>
      <c r="E646" s="0" t="n">
        <f aca="false">IFERROR(__xludf.dummyfunction("""COMPUTED_VALUE"""),10)</f>
        <v>10</v>
      </c>
      <c r="F646" s="0" t="str">
        <f aca="false">IFERROR(__xludf.dummyfunction("filter(Formulas!$C:$C,Formulas!$A:$A=B646)"),"""formula"":[{""sku"":""1301"",""req"":1},{""sku"":""1216"",""req"":1},{""sku"":""1207"",""req"":1}]")</f>
        <v>"formula":[{"sku":"1301","req":1},{"sku":"1216","req":1},{"sku":"1207","req":1}]</v>
      </c>
      <c r="G646" s="0" t="n">
        <f aca="false">IFERROR(__xludf.dummyfunction("""COMPUTED_VALUE"""),1)</f>
        <v>1</v>
      </c>
      <c r="H646" s="21" t="str">
        <f aca="false">IFERROR(__xludf.dummyfunction("IF(D646,filter(Productos!AC:AC,Productos!A:A=B646),)"),"cocina")</f>
        <v>cocina</v>
      </c>
      <c r="I646" s="24" t="n">
        <f aca="false">IFERROR(__xludf.dummyfunction("""COMPUTED_VALUE"""),2700)</f>
        <v>2700</v>
      </c>
      <c r="K646" s="0" t="str">
        <f aca="false">IF(D646,"{""sku"":"""&amp;B646&amp;""", ""costo"":"&amp;C646&amp;", ""grupo"":"""&amp;A646&amp;""", ""lote"":"&amp;D646&amp;", ""tiempo"":"&amp;E646&amp;", "&amp;F646&amp;", ""vencimiento"":"&amp;G646&amp;IF(I646,", ""precio"":"&amp;I646,)&amp;", ""tipo"":"""&amp;H646&amp;"""},",)</f>
        <v>{"sku":"20003", "costo":10, "grupo":"9", "lote":1, "tiempo":10, "formula":[{"sku":"1301","req":1},{"sku":"1216","req":1},{"sku":"1207","req":1}], "vencimiento":1, "precio":2700, "tipo":"cocina"},</v>
      </c>
    </row>
    <row r="647" customFormat="false" ht="13" hidden="false" customHeight="false" outlineLevel="0" collapsed="false">
      <c r="A647" s="17" t="n">
        <v>9</v>
      </c>
      <c r="B647" s="0" t="n">
        <f aca="false">IFERROR(__xludf.dummyfunction("""COMPUTED_VALUE"""),20004)</f>
        <v>20004</v>
      </c>
      <c r="C647" s="24" t="n">
        <f aca="false">IFERROR(__xludf.dummyfunction("""COMPUTED_VALUE"""),10)</f>
        <v>10</v>
      </c>
      <c r="D647" s="0" t="n">
        <f aca="false">IFERROR(__xludf.dummyfunction("""COMPUTED_VALUE"""),1)</f>
        <v>1</v>
      </c>
      <c r="E647" s="0" t="n">
        <f aca="false">IFERROR(__xludf.dummyfunction("""COMPUTED_VALUE"""),10)</f>
        <v>10</v>
      </c>
      <c r="F647" s="0" t="str">
        <f aca="false">IFERROR(__xludf.dummyfunction("filter(Formulas!$C:$C,Formulas!$A:$A=B647)"),"""formula"":[{""sku"":""1301"",""req"":1},{""sku"":""1216"",""req"":1},{""sku"":""1209"",""req"":1}]")</f>
        <v>"formula":[{"sku":"1301","req":1},{"sku":"1216","req":1},{"sku":"1209","req":1}]</v>
      </c>
      <c r="G647" s="0" t="n">
        <f aca="false">IFERROR(__xludf.dummyfunction("""COMPUTED_VALUE"""),1)</f>
        <v>1</v>
      </c>
      <c r="H647" s="21" t="str">
        <f aca="false">IFERROR(__xludf.dummyfunction("IF(D647,filter(Productos!AC:AC,Productos!A:A=B647),)"),"cocina")</f>
        <v>cocina</v>
      </c>
      <c r="I647" s="24" t="n">
        <f aca="false">IFERROR(__xludf.dummyfunction("""COMPUTED_VALUE"""),2700)</f>
        <v>2700</v>
      </c>
      <c r="K647" s="0" t="str">
        <f aca="false">IF(D647,"{""sku"":"""&amp;B647&amp;""", ""costo"":"&amp;C647&amp;", ""grupo"":"""&amp;A647&amp;""", ""lote"":"&amp;D647&amp;", ""tiempo"":"&amp;E647&amp;", "&amp;F647&amp;", ""vencimiento"":"&amp;G647&amp;IF(I647,", ""precio"":"&amp;I647,)&amp;", ""tipo"":"""&amp;H647&amp;"""},",)</f>
        <v>{"sku":"20004", "costo":10, "grupo":"9", "lote":1, "tiempo":10, "formula":[{"sku":"1301","req":1},{"sku":"1216","req":1},{"sku":"1209","req":1}], "vencimiento":1, "precio":2700, "tipo":"cocina"},</v>
      </c>
    </row>
    <row r="648" customFormat="false" ht="13" hidden="false" customHeight="false" outlineLevel="0" collapsed="false">
      <c r="A648" s="16" t="n">
        <v>9</v>
      </c>
      <c r="B648" s="0" t="n">
        <f aca="false">IFERROR(__xludf.dummyfunction("""COMPUTED_VALUE"""),20005)</f>
        <v>20005</v>
      </c>
      <c r="C648" s="24" t="n">
        <f aca="false">IFERROR(__xludf.dummyfunction("""COMPUTED_VALUE"""),10)</f>
        <v>10</v>
      </c>
      <c r="D648" s="0" t="n">
        <f aca="false">IFERROR(__xludf.dummyfunction("""COMPUTED_VALUE"""),1)</f>
        <v>1</v>
      </c>
      <c r="E648" s="0" t="n">
        <f aca="false">IFERROR(__xludf.dummyfunction("""COMPUTED_VALUE"""),20)</f>
        <v>20</v>
      </c>
      <c r="F648" s="0" t="str">
        <f aca="false">IFERROR(__xludf.dummyfunction("filter(Formulas!$C:$C,Formulas!$A:$A=B648)"),"""formula"":[{""sku"":""1301"",""req"":1},{""sku"":""1216"",""req"":1},{""sku"":""1209"",""req"":1},{""sku"":""1310"",""req"":1},{""sku"":""1112"",""req"":1}]")</f>
        <v>"formula":[{"sku":"1301","req":1},{"sku":"1216","req":1},{"sku":"1209","req":1},{"sku":"1310","req":1},{"sku":"1112","req":1}]</v>
      </c>
      <c r="G648" s="0" t="n">
        <f aca="false">IFERROR(__xludf.dummyfunction("""COMPUTED_VALUE"""),1)</f>
        <v>1</v>
      </c>
      <c r="H648" s="21" t="str">
        <f aca="false">IFERROR(__xludf.dummyfunction("IF(D648,filter(Productos!AC:AC,Productos!A:A=B648),)"),"cocina")</f>
        <v>cocina</v>
      </c>
      <c r="I648" s="24" t="n">
        <f aca="false">IFERROR(__xludf.dummyfunction("""COMPUTED_VALUE"""),2700)</f>
        <v>2700</v>
      </c>
      <c r="K648" s="0" t="str">
        <f aca="false">IF(D648,"{""sku"":"""&amp;B648&amp;""", ""costo"":"&amp;C648&amp;", ""grupo"":"""&amp;A648&amp;""", ""lote"":"&amp;D648&amp;", ""tiempo"":"&amp;E648&amp;", "&amp;F648&amp;", ""vencimiento"":"&amp;G648&amp;IF(I648,", ""precio"":"&amp;I648,)&amp;", ""tipo"":"""&amp;H648&amp;"""},",)</f>
        <v>{"sku":"20005", "costo":10, "grupo":"9", "lote":1, "tiempo":20, "formula":[{"sku":"1301","req":1},{"sku":"1216","req":1},{"sku":"1209","req":1},{"sku":"1310","req":1},{"sku":"1112","req":1}], "vencimiento":1, "precio":2700, "tipo":"cocina"},</v>
      </c>
    </row>
    <row r="649" customFormat="false" ht="13" hidden="false" customHeight="false" outlineLevel="0" collapsed="false">
      <c r="A649" s="17" t="n">
        <v>9</v>
      </c>
      <c r="B649" s="0" t="n">
        <f aca="false">IFERROR(__xludf.dummyfunction("""COMPUTED_VALUE"""),30001)</f>
        <v>30001</v>
      </c>
      <c r="C649" s="24" t="n">
        <f aca="false">IFERROR(__xludf.dummyfunction("""COMPUTED_VALUE"""),10)</f>
        <v>10</v>
      </c>
      <c r="D649" s="0" t="n">
        <f aca="false">IFERROR(__xludf.dummyfunction("""COMPUTED_VALUE"""),1)</f>
        <v>1</v>
      </c>
      <c r="E649" s="0" t="n">
        <f aca="false">IFERROR(__xludf.dummyfunction("""COMPUTED_VALUE"""),10)</f>
        <v>10</v>
      </c>
      <c r="F649" s="0" t="str">
        <f aca="false">IFERROR(__xludf.dummyfunction("filter(Formulas!$C:$C,Formulas!$A:$A=B649)"),"""formula"":[{""sku"":""1307"",""req"":3}]")</f>
        <v>"formula":[{"sku":"1307","req":3}]</v>
      </c>
      <c r="G649" s="0" t="n">
        <f aca="false">IFERROR(__xludf.dummyfunction("""COMPUTED_VALUE"""),1)</f>
        <v>1</v>
      </c>
      <c r="H649" s="21" t="str">
        <f aca="false">IFERROR(__xludf.dummyfunction("IF(D649,filter(Productos!AC:AC,Productos!A:A=B649),)"),"cocina")</f>
        <v>cocina</v>
      </c>
      <c r="I649" s="24" t="n">
        <f aca="false">IFERROR(__xludf.dummyfunction("""COMPUTED_VALUE"""),7900)</f>
        <v>7900</v>
      </c>
      <c r="K649" s="0" t="str">
        <f aca="false">IF(D649,"{""sku"":"""&amp;B649&amp;""", ""costo"":"&amp;C649&amp;", ""grupo"":"""&amp;A649&amp;""", ""lote"":"&amp;D649&amp;", ""tiempo"":"&amp;E649&amp;", "&amp;F649&amp;", ""vencimiento"":"&amp;G649&amp;IF(I649,", ""precio"":"&amp;I649,)&amp;", ""tipo"":"""&amp;H649&amp;"""},",)</f>
        <v>{"sku":"30001", "costo":10, "grupo":"9", "lote":1, "tiempo":10, "formula":[{"sku":"1307","req":3}], "vencimiento":1, "precio":7900, "tipo":"cocina"},</v>
      </c>
    </row>
    <row r="650" customFormat="false" ht="13" hidden="false" customHeight="false" outlineLevel="0" collapsed="false">
      <c r="A650" s="16" t="n">
        <v>9</v>
      </c>
      <c r="B650" s="0" t="n">
        <f aca="false">IFERROR(__xludf.dummyfunction("""COMPUTED_VALUE"""),30002)</f>
        <v>30002</v>
      </c>
      <c r="C650" s="24" t="n">
        <f aca="false">IFERROR(__xludf.dummyfunction("""COMPUTED_VALUE"""),10)</f>
        <v>10</v>
      </c>
      <c r="D650" s="0" t="n">
        <f aca="false">IFERROR(__xludf.dummyfunction("""COMPUTED_VALUE"""),1)</f>
        <v>1</v>
      </c>
      <c r="E650" s="0" t="n">
        <f aca="false">IFERROR(__xludf.dummyfunction("""COMPUTED_VALUE"""),10)</f>
        <v>10</v>
      </c>
      <c r="F650" s="0" t="str">
        <f aca="false">IFERROR(__xludf.dummyfunction("filter(Formulas!$C:$C,Formulas!$A:$A=B650)"),"""formula"":[{""sku"":""1307"",""req"":4}]")</f>
        <v>"formula":[{"sku":"1307","req":4}]</v>
      </c>
      <c r="G650" s="0" t="n">
        <f aca="false">IFERROR(__xludf.dummyfunction("""COMPUTED_VALUE"""),1)</f>
        <v>1</v>
      </c>
      <c r="H650" s="21" t="str">
        <f aca="false">IFERROR(__xludf.dummyfunction("IF(D650,filter(Productos!AC:AC,Productos!A:A=B650),)"),"cocina")</f>
        <v>cocina</v>
      </c>
      <c r="I650" s="24" t="n">
        <f aca="false">IFERROR(__xludf.dummyfunction("""COMPUTED_VALUE"""),9900)</f>
        <v>9900</v>
      </c>
      <c r="K650" s="0" t="str">
        <f aca="false">IF(D650,"{""sku"":"""&amp;B650&amp;""", ""costo"":"&amp;C650&amp;", ""grupo"":"""&amp;A650&amp;""", ""lote"":"&amp;D650&amp;", ""tiempo"":"&amp;E650&amp;", "&amp;F650&amp;", ""vencimiento"":"&amp;G650&amp;IF(I650,", ""precio"":"&amp;I650,)&amp;", ""tipo"":"""&amp;H650&amp;"""},",)</f>
        <v>{"sku":"30002", "costo":10, "grupo":"9", "lote":1, "tiempo":10, "formula":[{"sku":"1307","req":4}], "vencimiento":1, "precio":9900, "tipo":"cocina"},</v>
      </c>
    </row>
    <row r="651" customFormat="false" ht="13" hidden="false" customHeight="false" outlineLevel="0" collapsed="false">
      <c r="A651" s="17" t="n">
        <v>9</v>
      </c>
      <c r="B651" s="0" t="n">
        <f aca="false">IFERROR(__xludf.dummyfunction("""COMPUTED_VALUE"""),30003)</f>
        <v>30003</v>
      </c>
      <c r="C651" s="24" t="n">
        <f aca="false">IFERROR(__xludf.dummyfunction("""COMPUTED_VALUE"""),10)</f>
        <v>10</v>
      </c>
      <c r="D651" s="0" t="n">
        <f aca="false">IFERROR(__xludf.dummyfunction("""COMPUTED_VALUE"""),1)</f>
        <v>1</v>
      </c>
      <c r="E651" s="0" t="n">
        <f aca="false">IFERROR(__xludf.dummyfunction("""COMPUTED_VALUE"""),10)</f>
        <v>10</v>
      </c>
      <c r="F651" s="0" t="str">
        <f aca="false">IFERROR(__xludf.dummyfunction("filter(Formulas!$C:$C,Formulas!$A:$A=B651)"),"""formula"":[{""sku"":""1307"",""req"":5}]")</f>
        <v>"formula":[{"sku":"1307","req":5}]</v>
      </c>
      <c r="G651" s="0" t="n">
        <f aca="false">IFERROR(__xludf.dummyfunction("""COMPUTED_VALUE"""),1)</f>
        <v>1</v>
      </c>
      <c r="H651" s="21" t="str">
        <f aca="false">IFERROR(__xludf.dummyfunction("IF(D651,filter(Productos!AC:AC,Productos!A:A=B651),)"),"cocina")</f>
        <v>cocina</v>
      </c>
      <c r="I651" s="24" t="n">
        <f aca="false">IFERROR(__xludf.dummyfunction("""COMPUTED_VALUE"""),12500)</f>
        <v>12500</v>
      </c>
      <c r="K651" s="0" t="str">
        <f aca="false">IF(D651,"{""sku"":"""&amp;B651&amp;""", ""costo"":"&amp;C651&amp;", ""grupo"":"""&amp;A651&amp;""", ""lote"":"&amp;D651&amp;", ""tiempo"":"&amp;E651&amp;", "&amp;F651&amp;", ""vencimiento"":"&amp;G651&amp;IF(I651,", ""precio"":"&amp;I651,)&amp;", ""tipo"":"""&amp;H651&amp;"""},",)</f>
        <v>{"sku":"30003", "costo":10, "grupo":"9", "lote":1, "tiempo":10, "formula":[{"sku":"1307","req":5}], "vencimiento":1, "precio":12500, "tipo":"cocina"},</v>
      </c>
    </row>
    <row r="652" customFormat="false" ht="13" hidden="false" customHeight="false" outlineLevel="0" collapsed="false">
      <c r="A652" s="16" t="n">
        <v>9</v>
      </c>
      <c r="B652" s="0" t="n">
        <f aca="false">IFERROR(__xludf.dummyfunction("""COMPUTED_VALUE"""),30004)</f>
        <v>30004</v>
      </c>
      <c r="C652" s="24" t="n">
        <f aca="false">IFERROR(__xludf.dummyfunction("""COMPUTED_VALUE"""),10)</f>
        <v>10</v>
      </c>
      <c r="D652" s="0" t="n">
        <f aca="false">IFERROR(__xludf.dummyfunction("""COMPUTED_VALUE"""),1)</f>
        <v>1</v>
      </c>
      <c r="E652" s="0" t="n">
        <f aca="false">IFERROR(__xludf.dummyfunction("""COMPUTED_VALUE"""),10)</f>
        <v>10</v>
      </c>
      <c r="F652" s="0" t="str">
        <f aca="false">IFERROR(__xludf.dummyfunction("filter(Formulas!$C:$C,Formulas!$A:$A=B652)"),"""formula"":[{""sku"":""1309"",""req"":3}]")</f>
        <v>"formula":[{"sku":"1309","req":3}]</v>
      </c>
      <c r="G652" s="0" t="n">
        <f aca="false">IFERROR(__xludf.dummyfunction("""COMPUTED_VALUE"""),1)</f>
        <v>1</v>
      </c>
      <c r="H652" s="21" t="str">
        <f aca="false">IFERROR(__xludf.dummyfunction("IF(D652,filter(Productos!AC:AC,Productos!A:A=B652),)"),"cocina")</f>
        <v>cocina</v>
      </c>
      <c r="I652" s="24" t="n">
        <f aca="false">IFERROR(__xludf.dummyfunction("""COMPUTED_VALUE"""),7900)</f>
        <v>7900</v>
      </c>
      <c r="K652" s="0" t="str">
        <f aca="false">IF(D652,"{""sku"":"""&amp;B652&amp;""", ""costo"":"&amp;C652&amp;", ""grupo"":"""&amp;A652&amp;""", ""lote"":"&amp;D652&amp;", ""tiempo"":"&amp;E652&amp;", "&amp;F652&amp;", ""vencimiento"":"&amp;G652&amp;IF(I652,", ""precio"":"&amp;I652,)&amp;", ""tipo"":"""&amp;H652&amp;"""},",)</f>
        <v>{"sku":"30004", "costo":10, "grupo":"9", "lote":1, "tiempo":10, "formula":[{"sku":"1309","req":3}], "vencimiento":1, "precio":7900, "tipo":"cocina"},</v>
      </c>
    </row>
    <row r="653" customFormat="false" ht="13" hidden="false" customHeight="false" outlineLevel="0" collapsed="false">
      <c r="A653" s="17" t="n">
        <v>9</v>
      </c>
      <c r="B653" s="0" t="n">
        <f aca="false">IFERROR(__xludf.dummyfunction("""COMPUTED_VALUE"""),30005)</f>
        <v>30005</v>
      </c>
      <c r="C653" s="24" t="n">
        <f aca="false">IFERROR(__xludf.dummyfunction("""COMPUTED_VALUE"""),10)</f>
        <v>10</v>
      </c>
      <c r="D653" s="0" t="n">
        <f aca="false">IFERROR(__xludf.dummyfunction("""COMPUTED_VALUE"""),1)</f>
        <v>1</v>
      </c>
      <c r="E653" s="0" t="n">
        <f aca="false">IFERROR(__xludf.dummyfunction("""COMPUTED_VALUE"""),10)</f>
        <v>10</v>
      </c>
      <c r="F653" s="0" t="str">
        <f aca="false">IFERROR(__xludf.dummyfunction("filter(Formulas!$C:$C,Formulas!$A:$A=B653)"),"""formula"":[{""sku"":""1309"",""req"":4}]")</f>
        <v>"formula":[{"sku":"1309","req":4}]</v>
      </c>
      <c r="G653" s="0" t="n">
        <f aca="false">IFERROR(__xludf.dummyfunction("""COMPUTED_VALUE"""),1)</f>
        <v>1</v>
      </c>
      <c r="H653" s="21" t="str">
        <f aca="false">IFERROR(__xludf.dummyfunction("IF(D653,filter(Productos!AC:AC,Productos!A:A=B653),)"),"cocina")</f>
        <v>cocina</v>
      </c>
      <c r="I653" s="24" t="n">
        <f aca="false">IFERROR(__xludf.dummyfunction("""COMPUTED_VALUE"""),9900)</f>
        <v>9900</v>
      </c>
      <c r="K653" s="0" t="str">
        <f aca="false">IF(D653,"{""sku"":"""&amp;B653&amp;""", ""costo"":"&amp;C653&amp;", ""grupo"":"""&amp;A653&amp;""", ""lote"":"&amp;D653&amp;", ""tiempo"":"&amp;E653&amp;", "&amp;F653&amp;", ""vencimiento"":"&amp;G653&amp;IF(I653,", ""precio"":"&amp;I653,)&amp;", ""tipo"":"""&amp;H653&amp;"""},",)</f>
        <v>{"sku":"30005", "costo":10, "grupo":"9", "lote":1, "tiempo":10, "formula":[{"sku":"1309","req":4}], "vencimiento":1, "precio":9900, "tipo":"cocina"},</v>
      </c>
    </row>
    <row r="654" customFormat="false" ht="13" hidden="false" customHeight="false" outlineLevel="0" collapsed="false">
      <c r="A654" s="17" t="n">
        <v>9</v>
      </c>
      <c r="B654" s="0" t="n">
        <f aca="false">IFERROR(__xludf.dummyfunction("""COMPUTED_VALUE"""),30006)</f>
        <v>30006</v>
      </c>
      <c r="C654" s="24" t="n">
        <f aca="false">IFERROR(__xludf.dummyfunction("""COMPUTED_VALUE"""),10)</f>
        <v>10</v>
      </c>
      <c r="D654" s="0" t="n">
        <f aca="false">IFERROR(__xludf.dummyfunction("""COMPUTED_VALUE"""),1)</f>
        <v>1</v>
      </c>
      <c r="E654" s="0" t="n">
        <f aca="false">IFERROR(__xludf.dummyfunction("""COMPUTED_VALUE"""),10)</f>
        <v>10</v>
      </c>
      <c r="F654" s="0" t="str">
        <f aca="false">IFERROR(__xludf.dummyfunction("filter(Formulas!$C:$C,Formulas!$A:$A=B654)"),"""formula"":[{""sku"":""1309"",""req"":5}]")</f>
        <v>"formula":[{"sku":"1309","req":5}]</v>
      </c>
      <c r="G654" s="0" t="n">
        <f aca="false">IFERROR(__xludf.dummyfunction("""COMPUTED_VALUE"""),1)</f>
        <v>1</v>
      </c>
      <c r="H654" s="21" t="str">
        <f aca="false">IFERROR(__xludf.dummyfunction("IF(D654,filter(Productos!AC:AC,Productos!A:A=B654),)"),"cocina")</f>
        <v>cocina</v>
      </c>
      <c r="I654" s="24" t="n">
        <f aca="false">IFERROR(__xludf.dummyfunction("""COMPUTED_VALUE"""),12500)</f>
        <v>12500</v>
      </c>
      <c r="K654" s="0" t="str">
        <f aca="false">IF(D654,"{""sku"":"""&amp;B654&amp;""", ""costo"":"&amp;C654&amp;", ""grupo"":"""&amp;A654&amp;""", ""lote"":"&amp;D654&amp;", ""tiempo"":"&amp;E654&amp;", "&amp;F654&amp;", ""vencimiento"":"&amp;G654&amp;IF(I654,", ""precio"":"&amp;I654,)&amp;", ""tipo"":"""&amp;H654&amp;"""},",)</f>
        <v>{"sku":"30006", "costo":10, "grupo":"9", "lote":1, "tiempo":10, "formula":[{"sku":"1309","req":5}], "vencimiento":1, "precio":12500, "tipo":"cocina"},</v>
      </c>
    </row>
    <row r="655" customFormat="false" ht="13" hidden="false" customHeight="false" outlineLevel="0" collapsed="false">
      <c r="A655" s="17" t="n">
        <v>9</v>
      </c>
      <c r="B655" s="0" t="n">
        <f aca="false">IFERROR(__xludf.dummyfunction("""COMPUTED_VALUE"""),30007)</f>
        <v>30007</v>
      </c>
      <c r="C655" s="24" t="n">
        <f aca="false">IFERROR(__xludf.dummyfunction("""COMPUTED_VALUE"""),10)</f>
        <v>10</v>
      </c>
      <c r="D655" s="0" t="n">
        <f aca="false">IFERROR(__xludf.dummyfunction("""COMPUTED_VALUE"""),1)</f>
        <v>1</v>
      </c>
      <c r="E655" s="0" t="n">
        <f aca="false">IFERROR(__xludf.dummyfunction("""COMPUTED_VALUE"""),10)</f>
        <v>10</v>
      </c>
      <c r="F655" s="0" t="str">
        <f aca="false">IFERROR(__xludf.dummyfunction("filter(Formulas!$C:$C,Formulas!$A:$A=B655)"),"""formula"":[{""sku"":""1309"",""req"":2},{""sku"":""1307"",""req"":2}]")</f>
        <v>"formula":[{"sku":"1309","req":2},{"sku":"1307","req":2}]</v>
      </c>
      <c r="G655" s="0" t="n">
        <f aca="false">IFERROR(__xludf.dummyfunction("""COMPUTED_VALUE"""),1)</f>
        <v>1</v>
      </c>
      <c r="H655" s="21" t="str">
        <f aca="false">IFERROR(__xludf.dummyfunction("IF(D655,filter(Productos!AC:AC,Productos!A:A=B655),)"),"cocina")</f>
        <v>cocina</v>
      </c>
      <c r="I655" s="24" t="n">
        <f aca="false">IFERROR(__xludf.dummyfunction("""COMPUTED_VALUE"""),9900)</f>
        <v>9900</v>
      </c>
      <c r="K655" s="0" t="str">
        <f aca="false">IF(D655,"{""sku"":"""&amp;B655&amp;""", ""costo"":"&amp;C655&amp;", ""grupo"":"""&amp;A655&amp;""", ""lote"":"&amp;D655&amp;", ""tiempo"":"&amp;E655&amp;", "&amp;F655&amp;", ""vencimiento"":"&amp;G655&amp;IF(I655,", ""precio"":"&amp;I655,)&amp;", ""tipo"":"""&amp;H655&amp;"""},",)</f>
        <v>{"sku":"30007", "costo":10, "grupo":"9", "lote":1, "tiempo":10, "formula":[{"sku":"1309","req":2},{"sku":"1307","req":2}], "vencimiento":1, "precio":9900, "tipo":"cocina"},</v>
      </c>
    </row>
    <row r="656" customFormat="false" ht="13" hidden="false" customHeight="false" outlineLevel="0" collapsed="false">
      <c r="A656" s="17" t="n">
        <v>9</v>
      </c>
      <c r="B656" s="0" t="n">
        <f aca="false">IFERROR(__xludf.dummyfunction("""COMPUTED_VALUE"""),30008)</f>
        <v>30008</v>
      </c>
      <c r="C656" s="24" t="n">
        <f aca="false">IFERROR(__xludf.dummyfunction("""COMPUTED_VALUE"""),10)</f>
        <v>10</v>
      </c>
      <c r="D656" s="0" t="n">
        <f aca="false">IFERROR(__xludf.dummyfunction("""COMPUTED_VALUE"""),1)</f>
        <v>1</v>
      </c>
      <c r="E656" s="0" t="n">
        <f aca="false">IFERROR(__xludf.dummyfunction("""COMPUTED_VALUE"""),10)</f>
        <v>10</v>
      </c>
      <c r="F656" s="0" t="str">
        <f aca="false">IFERROR(__xludf.dummyfunction("filter(Formulas!$C:$C,Formulas!$A:$A=B656)"),"""formula"":[{""sku"":""1309"",""req"":3},{""sku"":""1307"",""req"":3}]")</f>
        <v>"formula":[{"sku":"1309","req":3},{"sku":"1307","req":3}]</v>
      </c>
      <c r="G656" s="0" t="n">
        <f aca="false">IFERROR(__xludf.dummyfunction("""COMPUTED_VALUE"""),1)</f>
        <v>1</v>
      </c>
      <c r="H656" s="21" t="str">
        <f aca="false">IFERROR(__xludf.dummyfunction("IF(D656,filter(Productos!AC:AC,Productos!A:A=B656),)"),"cocina")</f>
        <v>cocina</v>
      </c>
      <c r="I656" s="24" t="n">
        <f aca="false">IFERROR(__xludf.dummyfunction("""COMPUTED_VALUE"""),15990)</f>
        <v>15990</v>
      </c>
      <c r="K656" s="0" t="str">
        <f aca="false">IF(D656,"{""sku"":"""&amp;B656&amp;""", ""costo"":"&amp;C656&amp;", ""grupo"":"""&amp;A656&amp;""", ""lote"":"&amp;D656&amp;", ""tiempo"":"&amp;E656&amp;", "&amp;F656&amp;", ""vencimiento"":"&amp;G656&amp;IF(I656,", ""precio"":"&amp;I656,)&amp;", ""tipo"":"""&amp;H656&amp;"""},",)</f>
        <v>{"sku":"30008", "costo":10, "grupo":"9", "lote":1, "tiempo":10, "formula":[{"sku":"1309","req":3},{"sku":"1307","req":3}], "vencimiento":1, "precio":15990, "tipo":"cocina"},</v>
      </c>
    </row>
    <row r="657" customFormat="false" ht="13" hidden="false" customHeight="false" outlineLevel="0" collapsed="false">
      <c r="H657" s="21" t="str">
        <f aca="false">IFERROR(__xludf.dummyfunction("IF(D657,filter(Productos!AC:AC,Productos!A:A=B657),)"),"")</f>
        <v/>
      </c>
      <c r="K657" s="0" t="n">
        <f aca="false">IF(D657,"{""sku"":"""&amp;B657&amp;""", ""costo"":"&amp;C657&amp;", ""grupo"":"""&amp;A657&amp;""", ""lote"":"&amp;D657&amp;", ""tiempo"":"&amp;E657&amp;", "&amp;F657&amp;", ""vencimiento"":"&amp;G657&amp;IF(I657,", ""precio"":"&amp;I657,)&amp;", ""tipo"":"""&amp;H657&amp;"""},",)</f>
        <v>0</v>
      </c>
    </row>
    <row r="658" customFormat="false" ht="13" hidden="false" customHeight="false" outlineLevel="0" collapsed="false">
      <c r="A658" s="22" t="s">
        <v>256</v>
      </c>
      <c r="B658" s="16" t="s">
        <v>257</v>
      </c>
      <c r="C658" s="16"/>
      <c r="D658" s="16"/>
      <c r="E658" s="16"/>
      <c r="F658" s="16"/>
      <c r="G658" s="25"/>
      <c r="H658" s="21" t="str">
        <f aca="false">IFERROR(__xludf.dummyfunction("IF(D658,filter(Productos!AC:AC,Productos!A:A=B658),)"),"")</f>
        <v/>
      </c>
      <c r="K658" s="0" t="n">
        <f aca="false">IF(D658,"{""sku"":"""&amp;B658&amp;""", ""costo"":"&amp;C658&amp;", ""grupo"":"""&amp;A658&amp;""", ""lote"":"&amp;D658&amp;", ""tiempo"":"&amp;E658&amp;", "&amp;F658&amp;", ""vencimiento"":"&amp;G658&amp;IF(I658,", ""precio"":"&amp;I658,)&amp;", ""tipo"":"""&amp;H658&amp;"""},",)</f>
        <v>0</v>
      </c>
    </row>
    <row r="659" customFormat="false" ht="13" hidden="false" customHeight="false" outlineLevel="0" collapsed="false">
      <c r="A659" s="17" t="n">
        <v>10</v>
      </c>
      <c r="B659" s="17" t="n">
        <f aca="false">IFERROR(__xludf.dummyfunction("filter(Productos!$A$2:$A1017,INDIRECT(B658))"),1001)</f>
        <v>1001</v>
      </c>
      <c r="C659" s="24" t="n">
        <f aca="false">IFERROR(__xludf.dummyfunction("filter(Productos!$D$2:$D1017,INDIRECT(B658))"),3000)</f>
        <v>3000</v>
      </c>
      <c r="D659" s="17" t="n">
        <f aca="false">IFERROR(__xludf.dummyfunction("filter(Productos!$K$2:$L1017,INDIRECT(B658))"),10)</f>
        <v>10</v>
      </c>
      <c r="E659" s="17" t="n">
        <f aca="false">IFERROR(__xludf.dummyfunction("""COMPUTED_VALUE"""),240)</f>
        <v>240</v>
      </c>
      <c r="F659" s="16" t="str">
        <f aca="false">IFERROR(__xludf.dummyfunction("filter(Formulas!$C:$C,Formulas!$A:$A=B659)"),"""formula"":null")</f>
        <v>"formula":null</v>
      </c>
      <c r="G659" s="26" t="n">
        <f aca="false">IFERROR(__xludf.dummyfunction("filter(Productos!$H$2:$H1017,INDIRECT(B658))"),720)</f>
        <v>720</v>
      </c>
      <c r="H659" s="21" t="str">
        <f aca="false">IFERROR(__xludf.dummyfunction("IF(D659,filter(Productos!AC:AC,Productos!A:A=B659),)"),"fabrica")</f>
        <v>fabrica</v>
      </c>
      <c r="I659" s="24" t="str">
        <f aca="false">IFERROR(__xludf.dummyfunction("filter(Productos!$E$2:$E1017,INDIRECT(B658))"),"")</f>
        <v/>
      </c>
      <c r="K659" s="0" t="e">
        <f aca="false">IF(D659,"{""sku"":"""&amp;B659&amp;""", ""costo"":"&amp;C659&amp;", ""grupo"":"""&amp;A659&amp;""", ""lote"":"&amp;D659&amp;", ""tiempo"":"&amp;E659&amp;", "&amp;F659&amp;", ""vencimiento"":"&amp;G659&amp;IF(I659,", ""precio"":"&amp;I659,)&amp;", ""tipo"":"""&amp;H659&amp;"""},",)</f>
        <v>#VALUE!</v>
      </c>
    </row>
    <row r="660" customFormat="false" ht="13" hidden="false" customHeight="false" outlineLevel="0" collapsed="false">
      <c r="A660" s="16" t="n">
        <v>10</v>
      </c>
      <c r="B660" s="0" t="n">
        <f aca="false">IFERROR(__xludf.dummyfunction("""COMPUTED_VALUE"""),1004)</f>
        <v>1004</v>
      </c>
      <c r="C660" s="24" t="n">
        <f aca="false">IFERROR(__xludf.dummyfunction("""COMPUTED_VALUE"""),2190)</f>
        <v>2190</v>
      </c>
      <c r="D660" s="0" t="n">
        <f aca="false">IFERROR(__xludf.dummyfunction("""COMPUTED_VALUE"""),100)</f>
        <v>100</v>
      </c>
      <c r="E660" s="0" t="n">
        <f aca="false">IFERROR(__xludf.dummyfunction("""COMPUTED_VALUE"""),400)</f>
        <v>400</v>
      </c>
      <c r="F660" s="0" t="str">
        <f aca="false">IFERROR(__xludf.dummyfunction("filter(Formulas!$C:$C,Formulas!$A:$A=B660)"),"""formula"":null")</f>
        <v>"formula":null</v>
      </c>
      <c r="G660" s="0" t="n">
        <f aca="false">IFERROR(__xludf.dummyfunction("""COMPUTED_VALUE"""),720)</f>
        <v>720</v>
      </c>
      <c r="H660" s="21" t="str">
        <f aca="false">IFERROR(__xludf.dummyfunction("IF(D660,filter(Productos!AC:AC,Productos!A:A=B660),)"),"fabrica")</f>
        <v>fabrica</v>
      </c>
      <c r="I660" s="24" t="str">
        <f aca="false">IFERROR(__xludf.dummyfunction("""COMPUTED_VALUE"""),"")</f>
        <v/>
      </c>
      <c r="K660" s="0" t="e">
        <f aca="false">IF(D660,"{""sku"":"""&amp;B660&amp;""", ""costo"":"&amp;C660&amp;", ""grupo"":"""&amp;A660&amp;""", ""lote"":"&amp;D660&amp;", ""tiempo"":"&amp;E660&amp;", "&amp;F660&amp;", ""vencimiento"":"&amp;G660&amp;IF(I660,", ""precio"":"&amp;I660,)&amp;", ""tipo"":"""&amp;H660&amp;"""},",)</f>
        <v>#VALUE!</v>
      </c>
    </row>
    <row r="661" customFormat="false" ht="13" hidden="false" customHeight="false" outlineLevel="0" collapsed="false">
      <c r="A661" s="17" t="n">
        <v>10</v>
      </c>
      <c r="B661" s="0" t="n">
        <f aca="false">IFERROR(__xludf.dummyfunction("""COMPUTED_VALUE"""),1007)</f>
        <v>1007</v>
      </c>
      <c r="C661" s="24" t="n">
        <f aca="false">IFERROR(__xludf.dummyfunction("""COMPUTED_VALUE"""),32990)</f>
        <v>32990</v>
      </c>
      <c r="D661" s="0" t="n">
        <f aca="false">IFERROR(__xludf.dummyfunction("""COMPUTED_VALUE"""),8)</f>
        <v>8</v>
      </c>
      <c r="E661" s="0" t="n">
        <f aca="false">IFERROR(__xludf.dummyfunction("""COMPUTED_VALUE"""),300)</f>
        <v>300</v>
      </c>
      <c r="F661" s="0" t="str">
        <f aca="false">IFERROR(__xludf.dummyfunction("filter(Formulas!$C:$C,Formulas!$A:$A=B661)"),"""formula"":null")</f>
        <v>"formula":null</v>
      </c>
      <c r="G661" s="0" t="n">
        <f aca="false">IFERROR(__xludf.dummyfunction("""COMPUTED_VALUE"""),20)</f>
        <v>20</v>
      </c>
      <c r="H661" s="21" t="str">
        <f aca="false">IFERROR(__xludf.dummyfunction("IF(D661,filter(Productos!AC:AC,Productos!A:A=B661),)"),"fabrica")</f>
        <v>fabrica</v>
      </c>
      <c r="I661" s="24" t="str">
        <f aca="false">IFERROR(__xludf.dummyfunction("""COMPUTED_VALUE"""),"")</f>
        <v/>
      </c>
      <c r="K661" s="0" t="e">
        <f aca="false">IF(D661,"{""sku"":"""&amp;B661&amp;""", ""costo"":"&amp;C661&amp;", ""grupo"":"""&amp;A661&amp;""", ""lote"":"&amp;D661&amp;", ""tiempo"":"&amp;E661&amp;", "&amp;F661&amp;", ""vencimiento"":"&amp;G661&amp;IF(I661,", ""precio"":"&amp;I661,)&amp;", ""tipo"":"""&amp;H661&amp;"""},",)</f>
        <v>#VALUE!</v>
      </c>
    </row>
    <row r="662" customFormat="false" ht="13" hidden="false" customHeight="false" outlineLevel="0" collapsed="false">
      <c r="A662" s="16" t="n">
        <v>10</v>
      </c>
      <c r="B662" s="0" t="n">
        <f aca="false">IFERROR(__xludf.dummyfunction("""COMPUTED_VALUE"""),1008)</f>
        <v>1008</v>
      </c>
      <c r="C662" s="24" t="n">
        <f aca="false">IFERROR(__xludf.dummyfunction("""COMPUTED_VALUE"""),21990)</f>
        <v>21990</v>
      </c>
      <c r="D662" s="0" t="n">
        <f aca="false">IFERROR(__xludf.dummyfunction("""COMPUTED_VALUE"""),10)</f>
        <v>10</v>
      </c>
      <c r="E662" s="0" t="n">
        <f aca="false">IFERROR(__xludf.dummyfunction("""COMPUTED_VALUE"""),220)</f>
        <v>220</v>
      </c>
      <c r="F662" s="0" t="str">
        <f aca="false">IFERROR(__xludf.dummyfunction("filter(Formulas!$C:$C,Formulas!$A:$A=B662)"),"""formula"":null")</f>
        <v>"formula":null</v>
      </c>
      <c r="G662" s="0" t="n">
        <f aca="false">IFERROR(__xludf.dummyfunction("""COMPUTED_VALUE"""),48)</f>
        <v>48</v>
      </c>
      <c r="H662" s="21" t="str">
        <f aca="false">IFERROR(__xludf.dummyfunction("IF(D662,filter(Productos!AC:AC,Productos!A:A=B662),)"),"fabrica")</f>
        <v>fabrica</v>
      </c>
      <c r="I662" s="24" t="str">
        <f aca="false">IFERROR(__xludf.dummyfunction("""COMPUTED_VALUE"""),"")</f>
        <v/>
      </c>
      <c r="K662" s="0" t="e">
        <f aca="false">IF(D662,"{""sku"":"""&amp;B662&amp;""", ""costo"":"&amp;C662&amp;", ""grupo"":"""&amp;A662&amp;""", ""lote"":"&amp;D662&amp;", ""tiempo"":"&amp;E662&amp;", "&amp;F662&amp;", ""vencimiento"":"&amp;G662&amp;IF(I662,", ""precio"":"&amp;I662,)&amp;", ""tipo"":"""&amp;H662&amp;"""},",)</f>
        <v>#VALUE!</v>
      </c>
    </row>
    <row r="663" customFormat="false" ht="13" hidden="false" customHeight="false" outlineLevel="0" collapsed="false">
      <c r="A663" s="17" t="n">
        <v>10</v>
      </c>
      <c r="B663" s="0" t="n">
        <f aca="false">IFERROR(__xludf.dummyfunction("""COMPUTED_VALUE"""),1010)</f>
        <v>1010</v>
      </c>
      <c r="C663" s="24" t="n">
        <f aca="false">IFERROR(__xludf.dummyfunction("""COMPUTED_VALUE"""),2990)</f>
        <v>2990</v>
      </c>
      <c r="D663" s="0" t="n">
        <f aca="false">IFERROR(__xludf.dummyfunction("""COMPUTED_VALUE"""),5)</f>
        <v>5</v>
      </c>
      <c r="E663" s="0" t="n">
        <f aca="false">IFERROR(__xludf.dummyfunction("""COMPUTED_VALUE"""),480)</f>
        <v>480</v>
      </c>
      <c r="F663" s="0" t="str">
        <f aca="false">IFERROR(__xludf.dummyfunction("filter(Formulas!$C:$C,Formulas!$A:$A=B663)"),"""formula"":null")</f>
        <v>"formula":null</v>
      </c>
      <c r="G663" s="0" t="n">
        <f aca="false">IFERROR(__xludf.dummyfunction("""COMPUTED_VALUE"""),30)</f>
        <v>30</v>
      </c>
      <c r="H663" s="21" t="str">
        <f aca="false">IFERROR(__xludf.dummyfunction("IF(D663,filter(Productos!AC:AC,Productos!A:A=B663),)"),"fabrica")</f>
        <v>fabrica</v>
      </c>
      <c r="I663" s="24" t="str">
        <f aca="false">IFERROR(__xludf.dummyfunction("""COMPUTED_VALUE"""),"")</f>
        <v/>
      </c>
      <c r="K663" s="0" t="e">
        <f aca="false">IF(D663,"{""sku"":"""&amp;B663&amp;""", ""costo"":"&amp;C663&amp;", ""grupo"":"""&amp;A663&amp;""", ""lote"":"&amp;D663&amp;", ""tiempo"":"&amp;E663&amp;", "&amp;F663&amp;", ""vencimiento"":"&amp;G663&amp;IF(I663,", ""precio"":"&amp;I663,)&amp;", ""tipo"":"""&amp;H663&amp;"""},",)</f>
        <v>#VALUE!</v>
      </c>
    </row>
    <row r="664" customFormat="false" ht="13" hidden="false" customHeight="false" outlineLevel="0" collapsed="false">
      <c r="A664" s="16" t="n">
        <v>10</v>
      </c>
      <c r="B664" s="0" t="n">
        <f aca="false">IFERROR(__xludf.dummyfunction("""COMPUTED_VALUE"""),1011)</f>
        <v>1011</v>
      </c>
      <c r="C664" s="24" t="n">
        <f aca="false">IFERROR(__xludf.dummyfunction("""COMPUTED_VALUE"""),990)</f>
        <v>990</v>
      </c>
      <c r="D664" s="0" t="n">
        <f aca="false">IFERROR(__xludf.dummyfunction("""COMPUTED_VALUE"""),4)</f>
        <v>4</v>
      </c>
      <c r="E664" s="0" t="n">
        <f aca="false">IFERROR(__xludf.dummyfunction("""COMPUTED_VALUE"""),120)</f>
        <v>120</v>
      </c>
      <c r="F664" s="0" t="str">
        <f aca="false">IFERROR(__xludf.dummyfunction("filter(Formulas!$C:$C,Formulas!$A:$A=B664)"),"""formula"":null")</f>
        <v>"formula":null</v>
      </c>
      <c r="G664" s="0" t="n">
        <f aca="false">IFERROR(__xludf.dummyfunction("""COMPUTED_VALUE"""),168)</f>
        <v>168</v>
      </c>
      <c r="H664" s="21" t="str">
        <f aca="false">IFERROR(__xludf.dummyfunction("IF(D664,filter(Productos!AC:AC,Productos!A:A=B664),)"),"fabrica")</f>
        <v>fabrica</v>
      </c>
      <c r="I664" s="24" t="str">
        <f aca="false">IFERROR(__xludf.dummyfunction("""COMPUTED_VALUE"""),"")</f>
        <v/>
      </c>
      <c r="K664" s="0" t="e">
        <f aca="false">IF(D664,"{""sku"":"""&amp;B664&amp;""", ""costo"":"&amp;C664&amp;", ""grupo"":"""&amp;A664&amp;""", ""lote"":"&amp;D664&amp;", ""tiempo"":"&amp;E664&amp;", "&amp;F664&amp;", ""vencimiento"":"&amp;G664&amp;IF(I664,", ""precio"":"&amp;I664,)&amp;", ""tipo"":"""&amp;H664&amp;"""},",)</f>
        <v>#VALUE!</v>
      </c>
    </row>
    <row r="665" customFormat="false" ht="13" hidden="false" customHeight="false" outlineLevel="0" collapsed="false">
      <c r="A665" s="17" t="n">
        <v>10</v>
      </c>
      <c r="B665" s="0" t="n">
        <f aca="false">IFERROR(__xludf.dummyfunction("""COMPUTED_VALUE"""),1013)</f>
        <v>1013</v>
      </c>
      <c r="C665" s="24" t="n">
        <f aca="false">IFERROR(__xludf.dummyfunction("""COMPUTED_VALUE"""),1400)</f>
        <v>1400</v>
      </c>
      <c r="D665" s="0" t="n">
        <f aca="false">IFERROR(__xludf.dummyfunction("""COMPUTED_VALUE"""),10)</f>
        <v>10</v>
      </c>
      <c r="E665" s="0" t="n">
        <f aca="false">IFERROR(__xludf.dummyfunction("""COMPUTED_VALUE"""),320)</f>
        <v>320</v>
      </c>
      <c r="F665" s="0" t="str">
        <f aca="false">IFERROR(__xludf.dummyfunction("filter(Formulas!$C:$C,Formulas!$A:$A=B665)"),"""formula"":null")</f>
        <v>"formula":null</v>
      </c>
      <c r="G665" s="0" t="n">
        <f aca="false">IFERROR(__xludf.dummyfunction("""COMPUTED_VALUE"""),12)</f>
        <v>12</v>
      </c>
      <c r="H665" s="21" t="str">
        <f aca="false">IFERROR(__xludf.dummyfunction("IF(D665,filter(Productos!AC:AC,Productos!A:A=B665),)"),"fabrica")</f>
        <v>fabrica</v>
      </c>
      <c r="I665" s="24" t="str">
        <f aca="false">IFERROR(__xludf.dummyfunction("""COMPUTED_VALUE"""),"")</f>
        <v/>
      </c>
      <c r="K665" s="0" t="e">
        <f aca="false">IF(D665,"{""sku"":"""&amp;B665&amp;""", ""costo"":"&amp;C665&amp;", ""grupo"":"""&amp;A665&amp;""", ""lote"":"&amp;D665&amp;", ""tiempo"":"&amp;E665&amp;", "&amp;F665&amp;", ""vencimiento"":"&amp;G665&amp;IF(I665,", ""precio"":"&amp;I665,)&amp;", ""tipo"":"""&amp;H665&amp;"""},",)</f>
        <v>#VALUE!</v>
      </c>
    </row>
    <row r="666" customFormat="false" ht="13" hidden="false" customHeight="false" outlineLevel="0" collapsed="false">
      <c r="A666" s="16" t="n">
        <v>10</v>
      </c>
      <c r="B666" s="0" t="n">
        <f aca="false">IFERROR(__xludf.dummyfunction("""COMPUTED_VALUE"""),1016)</f>
        <v>1016</v>
      </c>
      <c r="C666" s="24" t="n">
        <f aca="false">IFERROR(__xludf.dummyfunction("""COMPUTED_VALUE"""),2790)</f>
        <v>2790</v>
      </c>
      <c r="D666" s="0" t="n">
        <f aca="false">IFERROR(__xludf.dummyfunction("""COMPUTED_VALUE"""),8)</f>
        <v>8</v>
      </c>
      <c r="E666" s="0" t="n">
        <f aca="false">IFERROR(__xludf.dummyfunction("""COMPUTED_VALUE"""),600)</f>
        <v>600</v>
      </c>
      <c r="F666" s="0" t="str">
        <f aca="false">IFERROR(__xludf.dummyfunction("filter(Formulas!$C:$C,Formulas!$A:$A=B666)"),"""formula"":null")</f>
        <v>"formula":null</v>
      </c>
      <c r="G666" s="0" t="n">
        <f aca="false">IFERROR(__xludf.dummyfunction("""COMPUTED_VALUE"""),240)</f>
        <v>240</v>
      </c>
      <c r="H666" s="21" t="str">
        <f aca="false">IFERROR(__xludf.dummyfunction("IF(D666,filter(Productos!AC:AC,Productos!A:A=B666),)"),"fabrica")</f>
        <v>fabrica</v>
      </c>
      <c r="I666" s="0" t="str">
        <f aca="false">IFERROR(__xludf.dummyfunction("""COMPUTED_VALUE"""),"")</f>
        <v/>
      </c>
      <c r="K666" s="0" t="e">
        <f aca="false">IF(D666,"{""sku"":"""&amp;B666&amp;""", ""costo"":"&amp;C666&amp;", ""grupo"":"""&amp;A666&amp;""", ""lote"":"&amp;D666&amp;", ""tiempo"":"&amp;E666&amp;", "&amp;F666&amp;", ""vencimiento"":"&amp;G666&amp;IF(I666,", ""precio"":"&amp;I666,)&amp;", ""tipo"":"""&amp;H666&amp;"""},",)</f>
        <v>#VALUE!</v>
      </c>
    </row>
    <row r="667" customFormat="false" ht="13" hidden="false" customHeight="false" outlineLevel="0" collapsed="false">
      <c r="A667" s="17" t="n">
        <v>10</v>
      </c>
      <c r="B667" s="0" t="n">
        <f aca="false">IFERROR(__xludf.dummyfunction("""COMPUTED_VALUE"""),1101)</f>
        <v>1101</v>
      </c>
      <c r="C667" s="24" t="n">
        <f aca="false">IFERROR(__xludf.dummyfunction("""COMPUTED_VALUE"""),500)</f>
        <v>500</v>
      </c>
      <c r="D667" s="0" t="n">
        <f aca="false">IFERROR(__xludf.dummyfunction("""COMPUTED_VALUE"""),10)</f>
        <v>10</v>
      </c>
      <c r="E667" s="0" t="n">
        <f aca="false">IFERROR(__xludf.dummyfunction("""COMPUTED_VALUE"""),40)</f>
        <v>40</v>
      </c>
      <c r="F667" s="0" t="str">
        <f aca="false">IFERROR(__xludf.dummyfunction("filter(Formulas!$C:$C,Formulas!$A:$A=B667)"),"""formula"":[{""sku"":""1001"",""req"":8},{""sku"":""1003"",""req"":3},{""sku"":""1004"",""req"":2},{""sku"":""1002"",""req"":4}]")</f>
        <v>"formula":[{"sku":"1001","req":8},{"sku":"1003","req":3},{"sku":"1004","req":2},{"sku":"1002","req":4}]</v>
      </c>
      <c r="G667" s="0" t="n">
        <f aca="false">IFERROR(__xludf.dummyfunction("""COMPUTED_VALUE"""),3)</f>
        <v>3</v>
      </c>
      <c r="H667" s="21" t="str">
        <f aca="false">IFERROR(__xludf.dummyfunction("IF(D667,filter(Productos!AC:AC,Productos!A:A=B667),)"),"fabrica")</f>
        <v>fabrica</v>
      </c>
      <c r="I667" s="24" t="str">
        <f aca="false">IFERROR(__xludf.dummyfunction("""COMPUTED_VALUE"""),"")</f>
        <v/>
      </c>
      <c r="K667" s="0" t="e">
        <f aca="false">IF(D667,"{""sku"":"""&amp;B667&amp;""", ""costo"":"&amp;C667&amp;", ""grupo"":"""&amp;A667&amp;""", ""lote"":"&amp;D667&amp;", ""tiempo"":"&amp;E667&amp;", "&amp;F667&amp;", ""vencimiento"":"&amp;G667&amp;IF(I667,", ""precio"":"&amp;I667,)&amp;", ""tipo"":"""&amp;H667&amp;"""},",)</f>
        <v>#VALUE!</v>
      </c>
    </row>
    <row r="668" customFormat="false" ht="13" hidden="false" customHeight="false" outlineLevel="0" collapsed="false">
      <c r="A668" s="16" t="n">
        <v>10</v>
      </c>
      <c r="B668" s="0" t="n">
        <f aca="false">IFERROR(__xludf.dummyfunction("""COMPUTED_VALUE"""),1105)</f>
        <v>1105</v>
      </c>
      <c r="C668" s="24" t="n">
        <f aca="false">IFERROR(__xludf.dummyfunction("""COMPUTED_VALUE"""),10)</f>
        <v>10</v>
      </c>
      <c r="D668" s="0" t="n">
        <f aca="false">IFERROR(__xludf.dummyfunction("""COMPUTED_VALUE"""),10)</f>
        <v>10</v>
      </c>
      <c r="E668" s="0" t="n">
        <f aca="false">IFERROR(__xludf.dummyfunction("""COMPUTED_VALUE"""),10)</f>
        <v>10</v>
      </c>
      <c r="F668" s="0" t="str">
        <f aca="false">IFERROR(__xludf.dummyfunction("filter(Formulas!$C:$C,Formulas!$A:$A=B668)"),"""formula"":[{""sku"":""1005"",""req"":1}]")</f>
        <v>"formula":[{"sku":"1005","req":1}]</v>
      </c>
      <c r="G668" s="0" t="n">
        <f aca="false">IFERROR(__xludf.dummyfunction("""COMPUTED_VALUE"""),3)</f>
        <v>3</v>
      </c>
      <c r="H668" s="21" t="str">
        <f aca="false">IFERROR(__xludf.dummyfunction("IF(D668,filter(Productos!AC:AC,Productos!A:A=B668),)"),"fabrica")</f>
        <v>fabrica</v>
      </c>
      <c r="I668" s="24" t="str">
        <f aca="false">IFERROR(__xludf.dummyfunction("""COMPUTED_VALUE"""),"")</f>
        <v/>
      </c>
      <c r="K668" s="0" t="e">
        <f aca="false">IF(D668,"{""sku"":"""&amp;B668&amp;""", ""costo"":"&amp;C668&amp;", ""grupo"":"""&amp;A668&amp;""", ""lote"":"&amp;D668&amp;", ""tiempo"":"&amp;E668&amp;", "&amp;F668&amp;", ""vencimiento"":"&amp;G668&amp;IF(I668,", ""precio"":"&amp;I668,)&amp;", ""tipo"":"""&amp;H668&amp;"""},",)</f>
        <v>#VALUE!</v>
      </c>
    </row>
    <row r="669" customFormat="false" ht="13" hidden="false" customHeight="false" outlineLevel="0" collapsed="false">
      <c r="A669" s="17" t="n">
        <v>10</v>
      </c>
      <c r="B669" s="0" t="n">
        <f aca="false">IFERROR(__xludf.dummyfunction("""COMPUTED_VALUE"""),1106)</f>
        <v>1106</v>
      </c>
      <c r="C669" s="24" t="n">
        <f aca="false">IFERROR(__xludf.dummyfunction("""COMPUTED_VALUE"""),700)</f>
        <v>700</v>
      </c>
      <c r="D669" s="0" t="n">
        <f aca="false">IFERROR(__xludf.dummyfunction("""COMPUTED_VALUE"""),100)</f>
        <v>100</v>
      </c>
      <c r="E669" s="0" t="n">
        <f aca="false">IFERROR(__xludf.dummyfunction("""COMPUTED_VALUE"""),30)</f>
        <v>30</v>
      </c>
      <c r="F669" s="0" t="str">
        <f aca="false">IFERROR(__xludf.dummyfunction("filter(Formulas!$C:$C,Formulas!$A:$A=B669)"),"""formula"":[{""sku"":""1006"",""req"":1}]")</f>
        <v>"formula":[{"sku":"1006","req":1}]</v>
      </c>
      <c r="G669" s="0" t="n">
        <f aca="false">IFERROR(__xludf.dummyfunction("""COMPUTED_VALUE"""),4)</f>
        <v>4</v>
      </c>
      <c r="H669" s="21" t="str">
        <f aca="false">IFERROR(__xludf.dummyfunction("IF(D669,filter(Productos!AC:AC,Productos!A:A=B669),)"),"fabrica")</f>
        <v>fabrica</v>
      </c>
      <c r="I669" s="24" t="str">
        <f aca="false">IFERROR(__xludf.dummyfunction("""COMPUTED_VALUE"""),"")</f>
        <v/>
      </c>
      <c r="K669" s="0" t="e">
        <f aca="false">IF(D669,"{""sku"":"""&amp;B669&amp;""", ""costo"":"&amp;C669&amp;", ""grupo"":"""&amp;A669&amp;""", ""lote"":"&amp;D669&amp;", ""tiempo"":"&amp;E669&amp;", "&amp;F669&amp;", ""vencimiento"":"&amp;G669&amp;IF(I669,", ""precio"":"&amp;I669,)&amp;", ""tipo"":"""&amp;H669&amp;"""},",)</f>
        <v>#VALUE!</v>
      </c>
    </row>
    <row r="670" customFormat="false" ht="13" hidden="false" customHeight="false" outlineLevel="0" collapsed="false">
      <c r="A670" s="16" t="n">
        <v>10</v>
      </c>
      <c r="B670" s="0" t="n">
        <f aca="false">IFERROR(__xludf.dummyfunction("""COMPUTED_VALUE"""),1107)</f>
        <v>1107</v>
      </c>
      <c r="C670" s="24" t="n">
        <f aca="false">IFERROR(__xludf.dummyfunction("""COMPUTED_VALUE"""),10)</f>
        <v>10</v>
      </c>
      <c r="D670" s="0" t="n">
        <f aca="false">IFERROR(__xludf.dummyfunction("""COMPUTED_VALUE"""),11)</f>
        <v>11</v>
      </c>
      <c r="E670" s="0" t="n">
        <f aca="false">IFERROR(__xludf.dummyfunction("""COMPUTED_VALUE"""),20)</f>
        <v>20</v>
      </c>
      <c r="F670" s="0" t="str">
        <f aca="false">IFERROR(__xludf.dummyfunction("filter(Formulas!$C:$C,Formulas!$A:$A=B670)"),"""formula"":[{""sku"":""1007"",""req"":1}]")</f>
        <v>"formula":[{"sku":"1007","req":1}]</v>
      </c>
      <c r="G670" s="0" t="n">
        <f aca="false">IFERROR(__xludf.dummyfunction("""COMPUTED_VALUE"""),2)</f>
        <v>2</v>
      </c>
      <c r="H670" s="21" t="str">
        <f aca="false">IFERROR(__xludf.dummyfunction("IF(D670,filter(Productos!AC:AC,Productos!A:A=B670),)"),"fabrica")</f>
        <v>fabrica</v>
      </c>
      <c r="I670" s="24" t="str">
        <f aca="false">IFERROR(__xludf.dummyfunction("""COMPUTED_VALUE"""),"")</f>
        <v/>
      </c>
      <c r="K670" s="0" t="e">
        <f aca="false">IF(D670,"{""sku"":"""&amp;B670&amp;""", ""costo"":"&amp;C670&amp;", ""grupo"":"""&amp;A670&amp;""", ""lote"":"&amp;D670&amp;", ""tiempo"":"&amp;E670&amp;", "&amp;F670&amp;", ""vencimiento"":"&amp;G670&amp;IF(I670,", ""precio"":"&amp;I670,)&amp;", ""tipo"":"""&amp;H670&amp;"""},",)</f>
        <v>#VALUE!</v>
      </c>
    </row>
    <row r="671" customFormat="false" ht="13" hidden="false" customHeight="false" outlineLevel="0" collapsed="false">
      <c r="A671" s="17" t="n">
        <v>10</v>
      </c>
      <c r="B671" s="0" t="n">
        <f aca="false">IFERROR(__xludf.dummyfunction("""COMPUTED_VALUE"""),1108)</f>
        <v>1108</v>
      </c>
      <c r="C671" s="24" t="n">
        <f aca="false">IFERROR(__xludf.dummyfunction("""COMPUTED_VALUE"""),10)</f>
        <v>10</v>
      </c>
      <c r="D671" s="0" t="n">
        <f aca="false">IFERROR(__xludf.dummyfunction("""COMPUTED_VALUE"""),6)</f>
        <v>6</v>
      </c>
      <c r="E671" s="0" t="n">
        <f aca="false">IFERROR(__xludf.dummyfunction("""COMPUTED_VALUE"""),20)</f>
        <v>20</v>
      </c>
      <c r="F671" s="0" t="str">
        <f aca="false">IFERROR(__xludf.dummyfunction("filter(Formulas!$C:$C,Formulas!$A:$A=B671)"),"""formula"":[{""sku"":""1008"",""req"":1}]")</f>
        <v>"formula":[{"sku":"1008","req":1}]</v>
      </c>
      <c r="G671" s="0" t="n">
        <f aca="false">IFERROR(__xludf.dummyfunction("""COMPUTED_VALUE"""),4)</f>
        <v>4</v>
      </c>
      <c r="H671" s="21" t="str">
        <f aca="false">IFERROR(__xludf.dummyfunction("IF(D671,filter(Productos!AC:AC,Productos!A:A=B671),)"),"fabrica")</f>
        <v>fabrica</v>
      </c>
      <c r="I671" s="24" t="str">
        <f aca="false">IFERROR(__xludf.dummyfunction("""COMPUTED_VALUE"""),"")</f>
        <v/>
      </c>
      <c r="K671" s="0" t="e">
        <f aca="false">IF(D671,"{""sku"":"""&amp;B671&amp;""", ""costo"":"&amp;C671&amp;", ""grupo"":"""&amp;A671&amp;""", ""lote"":"&amp;D671&amp;", ""tiempo"":"&amp;E671&amp;", "&amp;F671&amp;", ""vencimiento"":"&amp;G671&amp;IF(I671,", ""precio"":"&amp;I671,)&amp;", ""tipo"":"""&amp;H671&amp;"""},",)</f>
        <v>#VALUE!</v>
      </c>
    </row>
    <row r="672" customFormat="false" ht="13" hidden="false" customHeight="false" outlineLevel="0" collapsed="false">
      <c r="A672" s="16" t="n">
        <v>10</v>
      </c>
      <c r="B672" s="0" t="n">
        <f aca="false">IFERROR(__xludf.dummyfunction("""COMPUTED_VALUE"""),1109)</f>
        <v>1109</v>
      </c>
      <c r="C672" s="24" t="n">
        <f aca="false">IFERROR(__xludf.dummyfunction("""COMPUTED_VALUE"""),10)</f>
        <v>10</v>
      </c>
      <c r="D672" s="0" t="n">
        <f aca="false">IFERROR(__xludf.dummyfunction("""COMPUTED_VALUE"""),12)</f>
        <v>12</v>
      </c>
      <c r="E672" s="0" t="n">
        <f aca="false">IFERROR(__xludf.dummyfunction("""COMPUTED_VALUE"""),30)</f>
        <v>30</v>
      </c>
      <c r="F672" s="0" t="str">
        <f aca="false">IFERROR(__xludf.dummyfunction("filter(Formulas!$C:$C,Formulas!$A:$A=B672)"),"""formula"":[{""sku"":""1009"",""req"":1}]")</f>
        <v>"formula":[{"sku":"1009","req":1}]</v>
      </c>
      <c r="G672" s="0" t="n">
        <f aca="false">IFERROR(__xludf.dummyfunction("""COMPUTED_VALUE"""),1.5)</f>
        <v>1.5</v>
      </c>
      <c r="H672" s="21" t="str">
        <f aca="false">IFERROR(__xludf.dummyfunction("IF(D672,filter(Productos!AC:AC,Productos!A:A=B672),)"),"fabrica")</f>
        <v>fabrica</v>
      </c>
      <c r="I672" s="24" t="str">
        <f aca="false">IFERROR(__xludf.dummyfunction("""COMPUTED_VALUE"""),"")</f>
        <v/>
      </c>
      <c r="K672" s="0" t="e">
        <f aca="false">IF(D672,"{""sku"":"""&amp;B672&amp;""", ""costo"":"&amp;C672&amp;", ""grupo"":"""&amp;A672&amp;""", ""lote"":"&amp;D672&amp;", ""tiempo"":"&amp;E672&amp;", "&amp;F672&amp;", ""vencimiento"":"&amp;G672&amp;IF(I672,", ""precio"":"&amp;I672,)&amp;", ""tipo"":"""&amp;H672&amp;"""},",)</f>
        <v>#VALUE!</v>
      </c>
    </row>
    <row r="673" customFormat="false" ht="13" hidden="false" customHeight="false" outlineLevel="0" collapsed="false">
      <c r="A673" s="17" t="n">
        <v>10</v>
      </c>
      <c r="B673" s="0" t="n">
        <f aca="false">IFERROR(__xludf.dummyfunction("""COMPUTED_VALUE"""),1110)</f>
        <v>1110</v>
      </c>
      <c r="C673" s="24" t="n">
        <f aca="false">IFERROR(__xludf.dummyfunction("""COMPUTED_VALUE"""),10)</f>
        <v>10</v>
      </c>
      <c r="D673" s="0" t="n">
        <f aca="false">IFERROR(__xludf.dummyfunction("""COMPUTED_VALUE"""),6)</f>
        <v>6</v>
      </c>
      <c r="E673" s="0" t="n">
        <f aca="false">IFERROR(__xludf.dummyfunction("""COMPUTED_VALUE"""),10)</f>
        <v>10</v>
      </c>
      <c r="F673" s="0" t="str">
        <f aca="false">IFERROR(__xludf.dummyfunction("filter(Formulas!$C:$C,Formulas!$A:$A=B673)"),"""formula"":[{""sku"":""1010"",""req"":1}]")</f>
        <v>"formula":[{"sku":"1010","req":1}]</v>
      </c>
      <c r="G673" s="0" t="n">
        <f aca="false">IFERROR(__xludf.dummyfunction("""COMPUTED_VALUE"""),2)</f>
        <v>2</v>
      </c>
      <c r="H673" s="21" t="str">
        <f aca="false">IFERROR(__xludf.dummyfunction("IF(D673,filter(Productos!AC:AC,Productos!A:A=B673),)"),"fabrica")</f>
        <v>fabrica</v>
      </c>
      <c r="I673" s="24" t="str">
        <f aca="false">IFERROR(__xludf.dummyfunction("""COMPUTED_VALUE"""),"")</f>
        <v/>
      </c>
      <c r="K673" s="0" t="e">
        <f aca="false">IF(D673,"{""sku"":"""&amp;B673&amp;""", ""costo"":"&amp;C673&amp;", ""grupo"":"""&amp;A673&amp;""", ""lote"":"&amp;D673&amp;", ""tiempo"":"&amp;E673&amp;", "&amp;F673&amp;", ""vencimiento"":"&amp;G673&amp;IF(I673,", ""precio"":"&amp;I673,)&amp;", ""tipo"":"""&amp;H673&amp;"""},",)</f>
        <v>#VALUE!</v>
      </c>
    </row>
    <row r="674" customFormat="false" ht="13" hidden="false" customHeight="false" outlineLevel="0" collapsed="false">
      <c r="A674" s="16" t="n">
        <v>10</v>
      </c>
      <c r="B674" s="0" t="n">
        <f aca="false">IFERROR(__xludf.dummyfunction("""COMPUTED_VALUE"""),1111)</f>
        <v>1111</v>
      </c>
      <c r="C674" s="24" t="n">
        <f aca="false">IFERROR(__xludf.dummyfunction("""COMPUTED_VALUE"""),120)</f>
        <v>120</v>
      </c>
      <c r="D674" s="0" t="n">
        <f aca="false">IFERROR(__xludf.dummyfunction("""COMPUTED_VALUE"""),2)</f>
        <v>2</v>
      </c>
      <c r="E674" s="0" t="n">
        <f aca="false">IFERROR(__xludf.dummyfunction("""COMPUTED_VALUE"""),30)</f>
        <v>30</v>
      </c>
      <c r="F674" s="0" t="str">
        <f aca="false">IFERROR(__xludf.dummyfunction("filter(Formulas!$C:$C,Formulas!$A:$A=B674)"),"""formula"":[{""sku"":""1011"",""req"":2}]")</f>
        <v>"formula":[{"sku":"1011","req":2}]</v>
      </c>
      <c r="G674" s="0" t="n">
        <f aca="false">IFERROR(__xludf.dummyfunction("""COMPUTED_VALUE"""),12)</f>
        <v>12</v>
      </c>
      <c r="H674" s="21" t="str">
        <f aca="false">IFERROR(__xludf.dummyfunction("IF(D674,filter(Productos!AC:AC,Productos!A:A=B674),)"),"fabrica")</f>
        <v>fabrica</v>
      </c>
      <c r="I674" s="24" t="str">
        <f aca="false">IFERROR(__xludf.dummyfunction("""COMPUTED_VALUE"""),"")</f>
        <v/>
      </c>
      <c r="K674" s="0" t="e">
        <f aca="false">IF(D674,"{""sku"":"""&amp;B674&amp;""", ""costo"":"&amp;C674&amp;", ""grupo"":"""&amp;A674&amp;""", ""lote"":"&amp;D674&amp;", ""tiempo"":"&amp;E674&amp;", "&amp;F674&amp;", ""vencimiento"":"&amp;G674&amp;IF(I674,", ""precio"":"&amp;I674,)&amp;", ""tipo"":"""&amp;H674&amp;"""},",)</f>
        <v>#VALUE!</v>
      </c>
    </row>
    <row r="675" customFormat="false" ht="13" hidden="false" customHeight="false" outlineLevel="0" collapsed="false">
      <c r="A675" s="17" t="n">
        <v>10</v>
      </c>
      <c r="B675" s="0" t="n">
        <f aca="false">IFERROR(__xludf.dummyfunction("""COMPUTED_VALUE"""),1112)</f>
        <v>1112</v>
      </c>
      <c r="C675" s="24" t="n">
        <f aca="false">IFERROR(__xludf.dummyfunction("""COMPUTED_VALUE"""),10)</f>
        <v>10</v>
      </c>
      <c r="D675" s="0" t="n">
        <f aca="false">IFERROR(__xludf.dummyfunction("""COMPUTED_VALUE"""),20)</f>
        <v>20</v>
      </c>
      <c r="E675" s="0" t="n">
        <f aca="false">IFERROR(__xludf.dummyfunction("""COMPUTED_VALUE"""),10)</f>
        <v>10</v>
      </c>
      <c r="F675" s="0" t="str">
        <f aca="false">IFERROR(__xludf.dummyfunction("filter(Formulas!$C:$C,Formulas!$A:$A=B675)"),"""formula"":[{""sku"":""1012"",""req"":1}]")</f>
        <v>"formula":[{"sku":"1012","req":1}]</v>
      </c>
      <c r="G675" s="0" t="n">
        <f aca="false">IFERROR(__xludf.dummyfunction("""COMPUTED_VALUE"""),24)</f>
        <v>24</v>
      </c>
      <c r="H675" s="21" t="str">
        <f aca="false">IFERROR(__xludf.dummyfunction("IF(D675,filter(Productos!AC:AC,Productos!A:A=B675),)"),"fabrica")</f>
        <v>fabrica</v>
      </c>
      <c r="I675" s="24" t="str">
        <f aca="false">IFERROR(__xludf.dummyfunction("""COMPUTED_VALUE"""),"")</f>
        <v/>
      </c>
      <c r="K675" s="0" t="e">
        <f aca="false">IF(D675,"{""sku"":"""&amp;B675&amp;""", ""costo"":"&amp;C675&amp;", ""grupo"":"""&amp;A675&amp;""", ""lote"":"&amp;D675&amp;", ""tiempo"":"&amp;E675&amp;", "&amp;F675&amp;", ""vencimiento"":"&amp;G675&amp;IF(I675,", ""precio"":"&amp;I675,)&amp;", ""tipo"":"""&amp;H675&amp;"""},",)</f>
        <v>#VALUE!</v>
      </c>
    </row>
    <row r="676" customFormat="false" ht="13" hidden="false" customHeight="false" outlineLevel="0" collapsed="false">
      <c r="A676" s="16" t="n">
        <v>10</v>
      </c>
      <c r="B676" s="0" t="n">
        <f aca="false">IFERROR(__xludf.dummyfunction("""COMPUTED_VALUE"""),1114)</f>
        <v>1114</v>
      </c>
      <c r="C676" s="24" t="n">
        <f aca="false">IFERROR(__xludf.dummyfunction("""COMPUTED_VALUE"""),10)</f>
        <v>10</v>
      </c>
      <c r="D676" s="0" t="n">
        <f aca="false">IFERROR(__xludf.dummyfunction("""COMPUTED_VALUE"""),4)</f>
        <v>4</v>
      </c>
      <c r="E676" s="0" t="n">
        <f aca="false">IFERROR(__xludf.dummyfunction("""COMPUTED_VALUE"""),10)</f>
        <v>10</v>
      </c>
      <c r="F676" s="0" t="str">
        <f aca="false">IFERROR(__xludf.dummyfunction("filter(Formulas!$C:$C,Formulas!$A:$A=B676)"),"""formula"":[{""sku"":""1014"",""req"":1}]")</f>
        <v>"formula":[{"sku":"1014","req":1}]</v>
      </c>
      <c r="G676" s="0" t="n">
        <f aca="false">IFERROR(__xludf.dummyfunction("""COMPUTED_VALUE"""),2)</f>
        <v>2</v>
      </c>
      <c r="H676" s="21" t="str">
        <f aca="false">IFERROR(__xludf.dummyfunction("IF(D676,filter(Productos!AC:AC,Productos!A:A=B676),)"),"fabrica")</f>
        <v>fabrica</v>
      </c>
      <c r="I676" s="24" t="str">
        <f aca="false">IFERROR(__xludf.dummyfunction("""COMPUTED_VALUE"""),"")</f>
        <v/>
      </c>
      <c r="K676" s="0" t="e">
        <f aca="false">IF(D676,"{""sku"":"""&amp;B676&amp;""", ""costo"":"&amp;C676&amp;", ""grupo"":"""&amp;A676&amp;""", ""lote"":"&amp;D676&amp;", ""tiempo"":"&amp;E676&amp;", "&amp;F676&amp;", ""vencimiento"":"&amp;G676&amp;IF(I676,", ""precio"":"&amp;I676,)&amp;", ""tipo"":"""&amp;H676&amp;"""},",)</f>
        <v>#VALUE!</v>
      </c>
    </row>
    <row r="677" customFormat="false" ht="13" hidden="false" customHeight="false" outlineLevel="0" collapsed="false">
      <c r="A677" s="17" t="n">
        <v>10</v>
      </c>
      <c r="B677" s="0" t="n">
        <f aca="false">IFERROR(__xludf.dummyfunction("""COMPUTED_VALUE"""),1115)</f>
        <v>1115</v>
      </c>
      <c r="C677" s="24" t="n">
        <f aca="false">IFERROR(__xludf.dummyfunction("""COMPUTED_VALUE"""),10)</f>
        <v>10</v>
      </c>
      <c r="D677" s="0" t="n">
        <f aca="false">IFERROR(__xludf.dummyfunction("""COMPUTED_VALUE"""),8)</f>
        <v>8</v>
      </c>
      <c r="E677" s="0" t="n">
        <f aca="false">IFERROR(__xludf.dummyfunction("""COMPUTED_VALUE"""),10)</f>
        <v>10</v>
      </c>
      <c r="F677" s="0" t="str">
        <f aca="false">IFERROR(__xludf.dummyfunction("filter(Formulas!$C:$C,Formulas!$A:$A=B677)"),"""formula"":[{""sku"":""1015"",""req"":2}]")</f>
        <v>"formula":[{"sku":"1015","req":2}]</v>
      </c>
      <c r="G677" s="0" t="n">
        <f aca="false">IFERROR(__xludf.dummyfunction("""COMPUTED_VALUE"""),3)</f>
        <v>3</v>
      </c>
      <c r="H677" s="21" t="str">
        <f aca="false">IFERROR(__xludf.dummyfunction("IF(D677,filter(Productos!AC:AC,Productos!A:A=B677),)"),"fabrica")</f>
        <v>fabrica</v>
      </c>
      <c r="I677" s="24" t="str">
        <f aca="false">IFERROR(__xludf.dummyfunction("""COMPUTED_VALUE"""),"")</f>
        <v/>
      </c>
      <c r="K677" s="0" t="e">
        <f aca="false">IF(D677,"{""sku"":"""&amp;B677&amp;""", ""costo"":"&amp;C677&amp;", ""grupo"":"""&amp;A677&amp;""", ""lote"":"&amp;D677&amp;", ""tiempo"":"&amp;E677&amp;", "&amp;F677&amp;", ""vencimiento"":"&amp;G677&amp;IF(I677,", ""precio"":"&amp;I677,)&amp;", ""tipo"":"""&amp;H677&amp;"""},",)</f>
        <v>#VALUE!</v>
      </c>
    </row>
    <row r="678" customFormat="false" ht="13" hidden="false" customHeight="false" outlineLevel="0" collapsed="false">
      <c r="A678" s="16" t="n">
        <v>10</v>
      </c>
      <c r="B678" s="0" t="n">
        <f aca="false">IFERROR(__xludf.dummyfunction("""COMPUTED_VALUE"""),1116)</f>
        <v>1116</v>
      </c>
      <c r="C678" s="24" t="n">
        <f aca="false">IFERROR(__xludf.dummyfunction("""COMPUTED_VALUE"""),10)</f>
        <v>10</v>
      </c>
      <c r="D678" s="0" t="n">
        <f aca="false">IFERROR(__xludf.dummyfunction("""COMPUTED_VALUE"""),10)</f>
        <v>10</v>
      </c>
      <c r="E678" s="0" t="n">
        <f aca="false">IFERROR(__xludf.dummyfunction("""COMPUTED_VALUE"""),40)</f>
        <v>40</v>
      </c>
      <c r="F678" s="0" t="str">
        <f aca="false">IFERROR(__xludf.dummyfunction("filter(Formulas!$C:$C,Formulas!$A:$A=B678)"),"""formula"":[{""sku"":""1016"",""req"":11}]")</f>
        <v>"formula":[{"sku":"1016","req":11}]</v>
      </c>
      <c r="G678" s="0" t="n">
        <f aca="false">IFERROR(__xludf.dummyfunction("""COMPUTED_VALUE"""),24)</f>
        <v>24</v>
      </c>
      <c r="H678" s="21" t="str">
        <f aca="false">IFERROR(__xludf.dummyfunction("IF(D678,filter(Productos!AC:AC,Productos!A:A=B678),)"),"fabrica")</f>
        <v>fabrica</v>
      </c>
      <c r="I678" s="0" t="str">
        <f aca="false">IFERROR(__xludf.dummyfunction("""COMPUTED_VALUE"""),"")</f>
        <v/>
      </c>
      <c r="K678" s="0" t="e">
        <f aca="false">IF(D678,"{""sku"":"""&amp;B678&amp;""", ""costo"":"&amp;C678&amp;", ""grupo"":"""&amp;A678&amp;""", ""lote"":"&amp;D678&amp;", ""tiempo"":"&amp;E678&amp;", "&amp;F678&amp;", ""vencimiento"":"&amp;G678&amp;IF(I678,", ""precio"":"&amp;I678,)&amp;", ""tipo"":"""&amp;H678&amp;"""},",)</f>
        <v>#VALUE!</v>
      </c>
    </row>
    <row r="679" customFormat="false" ht="13" hidden="false" customHeight="false" outlineLevel="0" collapsed="false">
      <c r="A679" s="17" t="n">
        <v>10</v>
      </c>
      <c r="B679" s="0" t="n">
        <f aca="false">IFERROR(__xludf.dummyfunction("""COMPUTED_VALUE"""),1201)</f>
        <v>1201</v>
      </c>
      <c r="C679" s="24" t="n">
        <f aca="false">IFERROR(__xludf.dummyfunction("""COMPUTED_VALUE"""),10)</f>
        <v>10</v>
      </c>
      <c r="D679" s="0" t="n">
        <f aca="false">IFERROR(__xludf.dummyfunction("""COMPUTED_VALUE"""),10)</f>
        <v>10</v>
      </c>
      <c r="E679" s="0" t="n">
        <f aca="false">IFERROR(__xludf.dummyfunction("""COMPUTED_VALUE"""),10)</f>
        <v>10</v>
      </c>
      <c r="F679" s="0" t="str">
        <f aca="false">IFERROR(__xludf.dummyfunction("filter(Formulas!$C:$C,Formulas!$A:$A=B679)"),"""formula"":[{""sku"":""1101"",""req"":1}]")</f>
        <v>"formula":[{"sku":"1101","req":1}]</v>
      </c>
      <c r="G679" s="0" t="n">
        <f aca="false">IFERROR(__xludf.dummyfunction("""COMPUTED_VALUE"""),2)</f>
        <v>2</v>
      </c>
      <c r="H679" s="21" t="str">
        <f aca="false">IFERROR(__xludf.dummyfunction("IF(D679,filter(Productos!AC:AC,Productos!A:A=B679),)"),"fabrica")</f>
        <v>fabrica</v>
      </c>
      <c r="I679" s="24" t="str">
        <f aca="false">IFERROR(__xludf.dummyfunction("""COMPUTED_VALUE"""),"")</f>
        <v/>
      </c>
      <c r="K679" s="0" t="e">
        <f aca="false">IF(D679,"{""sku"":"""&amp;B679&amp;""", ""costo"":"&amp;C679&amp;", ""grupo"":"""&amp;A679&amp;""", ""lote"":"&amp;D679&amp;", ""tiempo"":"&amp;E679&amp;", "&amp;F679&amp;", ""vencimiento"":"&amp;G679&amp;IF(I679,", ""precio"":"&amp;I679,)&amp;", ""tipo"":"""&amp;H679&amp;"""},",)</f>
        <v>#VALUE!</v>
      </c>
    </row>
    <row r="680" customFormat="false" ht="13" hidden="false" customHeight="false" outlineLevel="0" collapsed="false">
      <c r="A680" s="16" t="n">
        <v>10</v>
      </c>
      <c r="B680" s="0" t="n">
        <f aca="false">IFERROR(__xludf.dummyfunction("""COMPUTED_VALUE"""),1207)</f>
        <v>1207</v>
      </c>
      <c r="C680" s="24" t="n">
        <f aca="false">IFERROR(__xludf.dummyfunction("""COMPUTED_VALUE"""),30)</f>
        <v>30</v>
      </c>
      <c r="D680" s="0" t="n">
        <f aca="false">IFERROR(__xludf.dummyfunction("""COMPUTED_VALUE"""),12)</f>
        <v>12</v>
      </c>
      <c r="E680" s="0" t="n">
        <f aca="false">IFERROR(__xludf.dummyfunction("""COMPUTED_VALUE"""),20)</f>
        <v>20</v>
      </c>
      <c r="F680" s="0" t="str">
        <f aca="false">IFERROR(__xludf.dummyfunction("filter(Formulas!$C:$C,Formulas!$A:$A=B680)"),"""formula"":[{""sku"":""1007"",""req"":1}]")</f>
        <v>"formula":[{"sku":"1007","req":1}]</v>
      </c>
      <c r="G680" s="0" t="n">
        <f aca="false">IFERROR(__xludf.dummyfunction("""COMPUTED_VALUE"""),2)</f>
        <v>2</v>
      </c>
      <c r="H680" s="21" t="str">
        <f aca="false">IFERROR(__xludf.dummyfunction("IF(D680,filter(Productos!AC:AC,Productos!A:A=B680),)"),"fabrica")</f>
        <v>fabrica</v>
      </c>
      <c r="I680" s="24" t="str">
        <f aca="false">IFERROR(__xludf.dummyfunction("""COMPUTED_VALUE"""),"")</f>
        <v/>
      </c>
      <c r="K680" s="0" t="e">
        <f aca="false">IF(D680,"{""sku"":"""&amp;B680&amp;""", ""costo"":"&amp;C680&amp;", ""grupo"":"""&amp;A680&amp;""", ""lote"":"&amp;D680&amp;", ""tiempo"":"&amp;E680&amp;", "&amp;F680&amp;", ""vencimiento"":"&amp;G680&amp;IF(I680,", ""precio"":"&amp;I680,)&amp;", ""tipo"":"""&amp;H680&amp;"""},",)</f>
        <v>#VALUE!</v>
      </c>
    </row>
    <row r="681" customFormat="false" ht="13" hidden="false" customHeight="false" outlineLevel="0" collapsed="false">
      <c r="A681" s="17" t="n">
        <v>10</v>
      </c>
      <c r="B681" s="0" t="n">
        <f aca="false">IFERROR(__xludf.dummyfunction("""COMPUTED_VALUE"""),1209)</f>
        <v>1209</v>
      </c>
      <c r="C681" s="24" t="n">
        <f aca="false">IFERROR(__xludf.dummyfunction("""COMPUTED_VALUE"""),30)</f>
        <v>30</v>
      </c>
      <c r="D681" s="0" t="n">
        <f aca="false">IFERROR(__xludf.dummyfunction("""COMPUTED_VALUE"""),14)</f>
        <v>14</v>
      </c>
      <c r="E681" s="0" t="n">
        <f aca="false">IFERROR(__xludf.dummyfunction("""COMPUTED_VALUE"""),30)</f>
        <v>30</v>
      </c>
      <c r="F681" s="0" t="str">
        <f aca="false">IFERROR(__xludf.dummyfunction("filter(Formulas!$C:$C,Formulas!$A:$A=B681)"),"""formula"":[{""sku"":""1009"",""req"":1}]")</f>
        <v>"formula":[{"sku":"1009","req":1}]</v>
      </c>
      <c r="G681" s="0" t="n">
        <f aca="false">IFERROR(__xludf.dummyfunction("""COMPUTED_VALUE"""),1.5)</f>
        <v>1.5</v>
      </c>
      <c r="H681" s="21" t="str">
        <f aca="false">IFERROR(__xludf.dummyfunction("IF(D681,filter(Productos!AC:AC,Productos!A:A=B681),)"),"fabrica")</f>
        <v>fabrica</v>
      </c>
      <c r="I681" s="24" t="str">
        <f aca="false">IFERROR(__xludf.dummyfunction("""COMPUTED_VALUE"""),"")</f>
        <v/>
      </c>
      <c r="K681" s="0" t="e">
        <f aca="false">IF(D681,"{""sku"":"""&amp;B681&amp;""", ""costo"":"&amp;C681&amp;", ""grupo"":"""&amp;A681&amp;""", ""lote"":"&amp;D681&amp;", ""tiempo"":"&amp;E681&amp;", "&amp;F681&amp;", ""vencimiento"":"&amp;G681&amp;IF(I681,", ""precio"":"&amp;I681,)&amp;", ""tipo"":"""&amp;H681&amp;"""},",)</f>
        <v>#VALUE!</v>
      </c>
    </row>
    <row r="682" customFormat="false" ht="13" hidden="false" customHeight="false" outlineLevel="0" collapsed="false">
      <c r="A682" s="16" t="n">
        <v>10</v>
      </c>
      <c r="B682" s="0" t="n">
        <f aca="false">IFERROR(__xludf.dummyfunction("""COMPUTED_VALUE"""),1210)</f>
        <v>1210</v>
      </c>
      <c r="C682" s="24" t="n">
        <f aca="false">IFERROR(__xludf.dummyfunction("""COMPUTED_VALUE"""),10)</f>
        <v>10</v>
      </c>
      <c r="D682" s="0" t="n">
        <f aca="false">IFERROR(__xludf.dummyfunction("""COMPUTED_VALUE"""),9)</f>
        <v>9</v>
      </c>
      <c r="E682" s="0" t="n">
        <f aca="false">IFERROR(__xludf.dummyfunction("""COMPUTED_VALUE"""),10)</f>
        <v>10</v>
      </c>
      <c r="F682" s="0" t="str">
        <f aca="false">IFERROR(__xludf.dummyfunction("filter(Formulas!$C:$C,Formulas!$A:$A=B682)"),"""formula"":[{""sku"":""1010"",""req"":1}]")</f>
        <v>"formula":[{"sku":"1010","req":1}]</v>
      </c>
      <c r="G682" s="0" t="n">
        <f aca="false">IFERROR(__xludf.dummyfunction("""COMPUTED_VALUE"""),2.3)</f>
        <v>2.3</v>
      </c>
      <c r="H682" s="21" t="str">
        <f aca="false">IFERROR(__xludf.dummyfunction("IF(D682,filter(Productos!AC:AC,Productos!A:A=B682),)"),"fabrica")</f>
        <v>fabrica</v>
      </c>
      <c r="I682" s="24" t="str">
        <f aca="false">IFERROR(__xludf.dummyfunction("""COMPUTED_VALUE"""),"")</f>
        <v/>
      </c>
      <c r="K682" s="0" t="e">
        <f aca="false">IF(D682,"{""sku"":"""&amp;B682&amp;""", ""costo"":"&amp;C682&amp;", ""grupo"":"""&amp;A682&amp;""", ""lote"":"&amp;D682&amp;", ""tiempo"":"&amp;E682&amp;", "&amp;F682&amp;", ""vencimiento"":"&amp;G682&amp;IF(I682,", ""precio"":"&amp;I682,)&amp;", ""tipo"":"""&amp;H682&amp;"""},",)</f>
        <v>#VALUE!</v>
      </c>
    </row>
    <row r="683" customFormat="false" ht="13" hidden="false" customHeight="false" outlineLevel="0" collapsed="false">
      <c r="A683" s="17" t="n">
        <v>10</v>
      </c>
      <c r="B683" s="0" t="n">
        <f aca="false">IFERROR(__xludf.dummyfunction("""COMPUTED_VALUE"""),1211)</f>
        <v>1211</v>
      </c>
      <c r="C683" s="24" t="n">
        <f aca="false">IFERROR(__xludf.dummyfunction("""COMPUTED_VALUE"""),10)</f>
        <v>10</v>
      </c>
      <c r="D683" s="0" t="n">
        <f aca="false">IFERROR(__xludf.dummyfunction("""COMPUTED_VALUE"""),10)</f>
        <v>10</v>
      </c>
      <c r="E683" s="0" t="n">
        <f aca="false">IFERROR(__xludf.dummyfunction("""COMPUTED_VALUE"""),10)</f>
        <v>10</v>
      </c>
      <c r="F683" s="0" t="str">
        <f aca="false">IFERROR(__xludf.dummyfunction("filter(Formulas!$C:$C,Formulas!$A:$A=B683)"),"""formula"":[{""sku"":""1111"",""req"":1}]")</f>
        <v>"formula":[{"sku":"1111","req":1}]</v>
      </c>
      <c r="G683" s="0" t="n">
        <f aca="false">IFERROR(__xludf.dummyfunction("""COMPUTED_VALUE"""),12)</f>
        <v>12</v>
      </c>
      <c r="H683" s="21" t="str">
        <f aca="false">IFERROR(__xludf.dummyfunction("IF(D683,filter(Productos!AC:AC,Productos!A:A=B683),)"),"fabrica")</f>
        <v>fabrica</v>
      </c>
      <c r="I683" s="24" t="str">
        <f aca="false">IFERROR(__xludf.dummyfunction("""COMPUTED_VALUE"""),"")</f>
        <v/>
      </c>
      <c r="K683" s="0" t="e">
        <f aca="false">IF(D683,"{""sku"":"""&amp;B683&amp;""", ""costo"":"&amp;C683&amp;", ""grupo"":"""&amp;A683&amp;""", ""lote"":"&amp;D683&amp;", ""tiempo"":"&amp;E683&amp;", "&amp;F683&amp;", ""vencimiento"":"&amp;G683&amp;IF(I683,", ""precio"":"&amp;I683,)&amp;", ""tipo"":"""&amp;H683&amp;"""},",)</f>
        <v>#VALUE!</v>
      </c>
    </row>
    <row r="684" customFormat="false" ht="13" hidden="false" customHeight="false" outlineLevel="0" collapsed="false">
      <c r="A684" s="16" t="n">
        <v>10</v>
      </c>
      <c r="B684" s="0" t="n">
        <f aca="false">IFERROR(__xludf.dummyfunction("""COMPUTED_VALUE"""),1215)</f>
        <v>1215</v>
      </c>
      <c r="C684" s="24" t="n">
        <f aca="false">IFERROR(__xludf.dummyfunction("""COMPUTED_VALUE"""),0)</f>
        <v>0</v>
      </c>
      <c r="D684" s="0" t="n">
        <f aca="false">IFERROR(__xludf.dummyfunction("""COMPUTED_VALUE"""),8)</f>
        <v>8</v>
      </c>
      <c r="E684" s="0" t="n">
        <f aca="false">IFERROR(__xludf.dummyfunction("""COMPUTED_VALUE"""),10)</f>
        <v>10</v>
      </c>
      <c r="F684" s="0" t="str">
        <f aca="false">IFERROR(__xludf.dummyfunction("filter(Formulas!$C:$C,Formulas!$A:$A=B684)"),"""formula"":[{""sku"":""1015"",""req"":4}]")</f>
        <v>"formula":[{"sku":"1015","req":4}]</v>
      </c>
      <c r="G684" s="0" t="n">
        <f aca="false">IFERROR(__xludf.dummyfunction("""COMPUTED_VALUE"""),3)</f>
        <v>3</v>
      </c>
      <c r="H684" s="21" t="str">
        <f aca="false">IFERROR(__xludf.dummyfunction("IF(D684,filter(Productos!AC:AC,Productos!A:A=B684),)"),"fabrica")</f>
        <v>fabrica</v>
      </c>
      <c r="I684" s="24" t="str">
        <f aca="false">IFERROR(__xludf.dummyfunction("""COMPUTED_VALUE"""),"")</f>
        <v/>
      </c>
      <c r="K684" s="0" t="e">
        <f aca="false">IF(D684,"{""sku"":"""&amp;B684&amp;""", ""costo"":"&amp;C684&amp;", ""grupo"":"""&amp;A684&amp;""", ""lote"":"&amp;D684&amp;", ""tiempo"":"&amp;E684&amp;", "&amp;F684&amp;", ""vencimiento"":"&amp;G684&amp;IF(I684,", ""precio"":"&amp;I684,)&amp;", ""tipo"":"""&amp;H684&amp;"""},",)</f>
        <v>#VALUE!</v>
      </c>
    </row>
    <row r="685" customFormat="false" ht="13" hidden="false" customHeight="false" outlineLevel="0" collapsed="false">
      <c r="A685" s="17" t="n">
        <v>10</v>
      </c>
      <c r="B685" s="0" t="n">
        <f aca="false">IFERROR(__xludf.dummyfunction("""COMPUTED_VALUE"""),1216)</f>
        <v>1216</v>
      </c>
      <c r="C685" s="24" t="n">
        <f aca="false">IFERROR(__xludf.dummyfunction("""COMPUTED_VALUE"""),10)</f>
        <v>10</v>
      </c>
      <c r="D685" s="0" t="n">
        <f aca="false">IFERROR(__xludf.dummyfunction("""COMPUTED_VALUE"""),10)</f>
        <v>10</v>
      </c>
      <c r="E685" s="0" t="n">
        <f aca="false">IFERROR(__xludf.dummyfunction("""COMPUTED_VALUE"""),30)</f>
        <v>30</v>
      </c>
      <c r="F685" s="0" t="str">
        <f aca="false">IFERROR(__xludf.dummyfunction("filter(Formulas!$C:$C,Formulas!$A:$A=B685)"),"""formula"":[{""sku"":""1016"",""req"":2}]")</f>
        <v>"formula":[{"sku":"1016","req":2}]</v>
      </c>
      <c r="G685" s="0" t="n">
        <f aca="false">IFERROR(__xludf.dummyfunction("""COMPUTED_VALUE"""),24)</f>
        <v>24</v>
      </c>
      <c r="H685" s="21" t="str">
        <f aca="false">IFERROR(__xludf.dummyfunction("IF(D685,filter(Productos!AC:AC,Productos!A:A=B685),)"),"fabrica")</f>
        <v>fabrica</v>
      </c>
      <c r="I685" s="0" t="str">
        <f aca="false">IFERROR(__xludf.dummyfunction("""COMPUTED_VALUE"""),"")</f>
        <v/>
      </c>
      <c r="K685" s="0" t="e">
        <f aca="false">IF(D685,"{""sku"":"""&amp;B685&amp;""", ""costo"":"&amp;C685&amp;", ""grupo"":"""&amp;A685&amp;""", ""lote"":"&amp;D685&amp;", ""tiempo"":"&amp;E685&amp;", "&amp;F685&amp;", ""vencimiento"":"&amp;G685&amp;IF(I685,", ""precio"":"&amp;I685,)&amp;", ""tipo"":"""&amp;H685&amp;"""},",)</f>
        <v>#VALUE!</v>
      </c>
    </row>
    <row r="686" customFormat="false" ht="13" hidden="false" customHeight="false" outlineLevel="0" collapsed="false">
      <c r="A686" s="16" t="n">
        <v>10</v>
      </c>
      <c r="B686" s="0" t="n">
        <f aca="false">IFERROR(__xludf.dummyfunction("""COMPUTED_VALUE"""),1301)</f>
        <v>1301</v>
      </c>
      <c r="C686" s="24" t="n">
        <f aca="false">IFERROR(__xludf.dummyfunction("""COMPUTED_VALUE"""),10)</f>
        <v>10</v>
      </c>
      <c r="D686" s="0" t="n">
        <f aca="false">IFERROR(__xludf.dummyfunction("""COMPUTED_VALUE"""),5)</f>
        <v>5</v>
      </c>
      <c r="E686" s="0" t="n">
        <f aca="false">IFERROR(__xludf.dummyfunction("""COMPUTED_VALUE"""),10)</f>
        <v>10</v>
      </c>
      <c r="F686" s="0" t="str">
        <f aca="false">IFERROR(__xludf.dummyfunction("filter(Formulas!$C:$C,Formulas!$A:$A=B686)"),"""formula"":[{""sku"":""1101"",""req"":1}]")</f>
        <v>"formula":[{"sku":"1101","req":1}]</v>
      </c>
      <c r="G686" s="0" t="n">
        <f aca="false">IFERROR(__xludf.dummyfunction("""COMPUTED_VALUE"""),2)</f>
        <v>2</v>
      </c>
      <c r="H686" s="21" t="str">
        <f aca="false">IFERROR(__xludf.dummyfunction("IF(D686,filter(Productos!AC:AC,Productos!A:A=B686),)"),"fabrica")</f>
        <v>fabrica</v>
      </c>
      <c r="I686" s="24" t="str">
        <f aca="false">IFERROR(__xludf.dummyfunction("""COMPUTED_VALUE"""),"")</f>
        <v/>
      </c>
      <c r="K686" s="0" t="e">
        <f aca="false">IF(D686,"{""sku"":"""&amp;B686&amp;""", ""costo"":"&amp;C686&amp;", ""grupo"":"""&amp;A686&amp;""", ""lote"":"&amp;D686&amp;", ""tiempo"":"&amp;E686&amp;", "&amp;F686&amp;", ""vencimiento"":"&amp;G686&amp;IF(I686,", ""precio"":"&amp;I686,)&amp;", ""tipo"":"""&amp;H686&amp;"""},",)</f>
        <v>#VALUE!</v>
      </c>
    </row>
    <row r="687" customFormat="false" ht="13" hidden="false" customHeight="false" outlineLevel="0" collapsed="false">
      <c r="A687" s="17" t="n">
        <v>10</v>
      </c>
      <c r="B687" s="0" t="n">
        <f aca="false">IFERROR(__xludf.dummyfunction("""COMPUTED_VALUE"""),1307)</f>
        <v>1307</v>
      </c>
      <c r="C687" s="24" t="n">
        <f aca="false">IFERROR(__xludf.dummyfunction("""COMPUTED_VALUE"""),50)</f>
        <v>50</v>
      </c>
      <c r="D687" s="0" t="n">
        <f aca="false">IFERROR(__xludf.dummyfunction("""COMPUTED_VALUE"""),11)</f>
        <v>11</v>
      </c>
      <c r="E687" s="0" t="n">
        <f aca="false">IFERROR(__xludf.dummyfunction("""COMPUTED_VALUE"""),30)</f>
        <v>30</v>
      </c>
      <c r="F687" s="0" t="str">
        <f aca="false">IFERROR(__xludf.dummyfunction("filter(Formulas!$C:$C,Formulas!$A:$A=B687)"),"""formula"":[{""sku"":""1007"",""req"":1}]")</f>
        <v>"formula":[{"sku":"1007","req":1}]</v>
      </c>
      <c r="G687" s="0" t="n">
        <f aca="false">IFERROR(__xludf.dummyfunction("""COMPUTED_VALUE"""),1.2)</f>
        <v>1.2</v>
      </c>
      <c r="H687" s="21" t="str">
        <f aca="false">IFERROR(__xludf.dummyfunction("IF(D687,filter(Productos!AC:AC,Productos!A:A=B687),)"),"fabrica")</f>
        <v>fabrica</v>
      </c>
      <c r="I687" s="24" t="str">
        <f aca="false">IFERROR(__xludf.dummyfunction("""COMPUTED_VALUE"""),"")</f>
        <v/>
      </c>
      <c r="K687" s="0" t="e">
        <f aca="false">IF(D687,"{""sku"":"""&amp;B687&amp;""", ""costo"":"&amp;C687&amp;", ""grupo"":"""&amp;A687&amp;""", ""lote"":"&amp;D687&amp;", ""tiempo"":"&amp;E687&amp;", "&amp;F687&amp;", ""vencimiento"":"&amp;G687&amp;IF(I687,", ""precio"":"&amp;I687,)&amp;", ""tipo"":"""&amp;H687&amp;"""},",)</f>
        <v>#VALUE!</v>
      </c>
    </row>
    <row r="688" customFormat="false" ht="13" hidden="false" customHeight="false" outlineLevel="0" collapsed="false">
      <c r="A688" s="16" t="n">
        <v>10</v>
      </c>
      <c r="B688" s="0" t="n">
        <f aca="false">IFERROR(__xludf.dummyfunction("""COMPUTED_VALUE"""),1309)</f>
        <v>1309</v>
      </c>
      <c r="C688" s="24" t="n">
        <f aca="false">IFERROR(__xludf.dummyfunction("""COMPUTED_VALUE"""),50)</f>
        <v>50</v>
      </c>
      <c r="D688" s="0" t="n">
        <f aca="false">IFERROR(__xludf.dummyfunction("""COMPUTED_VALUE"""),11)</f>
        <v>11</v>
      </c>
      <c r="E688" s="0" t="n">
        <f aca="false">IFERROR(__xludf.dummyfunction("""COMPUTED_VALUE"""),50)</f>
        <v>50</v>
      </c>
      <c r="F688" s="0" t="str">
        <f aca="false">IFERROR(__xludf.dummyfunction("filter(Formulas!$C:$C,Formulas!$A:$A=B688)"),"""formula"":[{""sku"":""1009"",""req"":1}]")</f>
        <v>"formula":[{"sku":"1009","req":1}]</v>
      </c>
      <c r="G688" s="0" t="n">
        <f aca="false">IFERROR(__xludf.dummyfunction("""COMPUTED_VALUE"""),1.2)</f>
        <v>1.2</v>
      </c>
      <c r="H688" s="21" t="str">
        <f aca="false">IFERROR(__xludf.dummyfunction("IF(D688,filter(Productos!AC:AC,Productos!A:A=B688),)"),"fabrica")</f>
        <v>fabrica</v>
      </c>
      <c r="I688" s="24" t="str">
        <f aca="false">IFERROR(__xludf.dummyfunction("""COMPUTED_VALUE"""),"")</f>
        <v/>
      </c>
      <c r="K688" s="0" t="e">
        <f aca="false">IF(D688,"{""sku"":"""&amp;B688&amp;""", ""costo"":"&amp;C688&amp;", ""grupo"":"""&amp;A688&amp;""", ""lote"":"&amp;D688&amp;", ""tiempo"":"&amp;E688&amp;", "&amp;F688&amp;", ""vencimiento"":"&amp;G688&amp;IF(I688,", ""precio"":"&amp;I688,)&amp;", ""tipo"":"""&amp;H688&amp;"""},",)</f>
        <v>#VALUE!</v>
      </c>
    </row>
    <row r="689" customFormat="false" ht="13" hidden="false" customHeight="false" outlineLevel="0" collapsed="false">
      <c r="A689" s="17" t="n">
        <v>10</v>
      </c>
      <c r="B689" s="0" t="n">
        <f aca="false">IFERROR(__xludf.dummyfunction("""COMPUTED_VALUE"""),1310)</f>
        <v>1310</v>
      </c>
      <c r="C689" s="24" t="n">
        <f aca="false">IFERROR(__xludf.dummyfunction("""COMPUTED_VALUE"""),10)</f>
        <v>10</v>
      </c>
      <c r="D689" s="0" t="n">
        <f aca="false">IFERROR(__xludf.dummyfunction("""COMPUTED_VALUE"""),12)</f>
        <v>12</v>
      </c>
      <c r="E689" s="0" t="n">
        <f aca="false">IFERROR(__xludf.dummyfunction("""COMPUTED_VALUE"""),10)</f>
        <v>10</v>
      </c>
      <c r="F689" s="0" t="str">
        <f aca="false">IFERROR(__xludf.dummyfunction("filter(Formulas!$C:$C,Formulas!$A:$A=B689)"),"""formula"":[{""sku"":""1010"",""req"":1}]")</f>
        <v>"formula":[{"sku":"1010","req":1}]</v>
      </c>
      <c r="G689" s="0" t="n">
        <f aca="false">IFERROR(__xludf.dummyfunction("""COMPUTED_VALUE"""),2)</f>
        <v>2</v>
      </c>
      <c r="H689" s="21" t="str">
        <f aca="false">IFERROR(__xludf.dummyfunction("IF(D689,filter(Productos!AC:AC,Productos!A:A=B689),)"),"fabrica")</f>
        <v>fabrica</v>
      </c>
      <c r="I689" s="24" t="str">
        <f aca="false">IFERROR(__xludf.dummyfunction("""COMPUTED_VALUE"""),"")</f>
        <v/>
      </c>
      <c r="K689" s="0" t="e">
        <f aca="false">IF(D689,"{""sku"":"""&amp;B689&amp;""", ""costo"":"&amp;C689&amp;", ""grupo"":"""&amp;A689&amp;""", ""lote"":"&amp;D689&amp;", ""tiempo"":"&amp;E689&amp;", "&amp;F689&amp;", ""vencimiento"":"&amp;G689&amp;IF(I689,", ""precio"":"&amp;I689,)&amp;", ""tipo"":"""&amp;H689&amp;"""},",)</f>
        <v>#VALUE!</v>
      </c>
    </row>
    <row r="690" customFormat="false" ht="13" hidden="false" customHeight="false" outlineLevel="0" collapsed="false">
      <c r="A690" s="16" t="n">
        <v>10</v>
      </c>
      <c r="B690" s="0" t="n">
        <f aca="false">IFERROR(__xludf.dummyfunction("""COMPUTED_VALUE"""),1407)</f>
        <v>1407</v>
      </c>
      <c r="C690" s="24" t="n">
        <f aca="false">IFERROR(__xludf.dummyfunction("""COMPUTED_VALUE"""),10)</f>
        <v>10</v>
      </c>
      <c r="D690" s="0" t="n">
        <f aca="false">IFERROR(__xludf.dummyfunction("""COMPUTED_VALUE"""),14)</f>
        <v>14</v>
      </c>
      <c r="E690" s="0" t="n">
        <f aca="false">IFERROR(__xludf.dummyfunction("""COMPUTED_VALUE"""),30)</f>
        <v>30</v>
      </c>
      <c r="F690" s="0" t="str">
        <f aca="false">IFERROR(__xludf.dummyfunction("filter(Formulas!$C:$C,Formulas!$A:$A=B690)"),"""formula"":[{""sku"":""1007"",""req"":1}]")</f>
        <v>"formula":[{"sku":"1007","req":1}]</v>
      </c>
      <c r="G690" s="0" t="n">
        <f aca="false">IFERROR(__xludf.dummyfunction("""COMPUTED_VALUE"""),2)</f>
        <v>2</v>
      </c>
      <c r="H690" s="21" t="str">
        <f aca="false">IFERROR(__xludf.dummyfunction("IF(D690,filter(Productos!AC:AC,Productos!A:A=B690),)"),"fabrica")</f>
        <v>fabrica</v>
      </c>
      <c r="I690" s="24" t="str">
        <f aca="false">IFERROR(__xludf.dummyfunction("""COMPUTED_VALUE"""),"")</f>
        <v/>
      </c>
      <c r="K690" s="0" t="e">
        <f aca="false">IF(D690,"{""sku"":"""&amp;B690&amp;""", ""costo"":"&amp;C690&amp;", ""grupo"":"""&amp;A690&amp;""", ""lote"":"&amp;D690&amp;", ""tiempo"":"&amp;E690&amp;", "&amp;F690&amp;", ""vencimiento"":"&amp;G690&amp;IF(I690,", ""precio"":"&amp;I690,)&amp;", ""tipo"":"""&amp;H690&amp;"""},",)</f>
        <v>#VALUE!</v>
      </c>
    </row>
    <row r="691" customFormat="false" ht="13" hidden="false" customHeight="false" outlineLevel="0" collapsed="false">
      <c r="A691" s="17" t="n">
        <v>10</v>
      </c>
      <c r="B691" s="0" t="n">
        <f aca="false">IFERROR(__xludf.dummyfunction("""COMPUTED_VALUE"""),10001)</f>
        <v>10001</v>
      </c>
      <c r="C691" s="24" t="n">
        <f aca="false">IFERROR(__xludf.dummyfunction("""COMPUTED_VALUE"""),10)</f>
        <v>10</v>
      </c>
      <c r="D691" s="0" t="n">
        <f aca="false">IFERROR(__xludf.dummyfunction("""COMPUTED_VALUE"""),1)</f>
        <v>1</v>
      </c>
      <c r="E691" s="0" t="n">
        <f aca="false">IFERROR(__xludf.dummyfunction("""COMPUTED_VALUE"""),10)</f>
        <v>10</v>
      </c>
      <c r="F691" s="0" t="str">
        <f aca="false">IFERROR(__xludf.dummyfunction("filter(Formulas!$C:$C,Formulas!$A:$A=B691)"),"""formula"":[{""sku"":""1201"",""req"":1},{""sku"":""1105"",""req"":1},{""sku"":""1210"",""req"":1},{""sku"":""1211"",""req"":1},{""sku"":""1116"",""req"":1}]")</f>
        <v>"formula":[{"sku":"1201","req":1},{"sku":"1105","req":1},{"sku":"1210","req":1},{"sku":"1211","req":1},{"sku":"1116","req":1}]</v>
      </c>
      <c r="G691" s="0" t="n">
        <f aca="false">IFERROR(__xludf.dummyfunction("""COMPUTED_VALUE"""),1)</f>
        <v>1</v>
      </c>
      <c r="H691" s="21" t="str">
        <f aca="false">IFERROR(__xludf.dummyfunction("IF(D691,filter(Productos!AC:AC,Productos!A:A=B691),)"),"cocina")</f>
        <v>cocina</v>
      </c>
      <c r="I691" s="24" t="n">
        <f aca="false">IFERROR(__xludf.dummyfunction("""COMPUTED_VALUE"""),4500)</f>
        <v>4500</v>
      </c>
      <c r="K691" s="0" t="str">
        <f aca="false">IF(D691,"{""sku"":"""&amp;B691&amp;""", ""costo"":"&amp;C691&amp;", ""grupo"":"""&amp;A691&amp;""", ""lote"":"&amp;D691&amp;", ""tiempo"":"&amp;E691&amp;", "&amp;F691&amp;", ""vencimiento"":"&amp;G691&amp;IF(I691,", ""precio"":"&amp;I691,)&amp;", ""tipo"":"""&amp;H691&amp;"""},",)</f>
        <v>{"sku":"10001", "costo":10, "grupo":"10", "lote":1, "tiempo":10, "formula":[{"sku":"1201","req":1},{"sku":"1105","req":1},{"sku":"1210","req":1},{"sku":"1211","req":1},{"sku":"1116","req":1}], "vencimiento":1, "precio":4500, "tipo":"cocina"},</v>
      </c>
    </row>
    <row r="692" customFormat="false" ht="13" hidden="false" customHeight="false" outlineLevel="0" collapsed="false">
      <c r="A692" s="16" t="n">
        <v>10</v>
      </c>
      <c r="B692" s="0" t="n">
        <f aca="false">IFERROR(__xludf.dummyfunction("""COMPUTED_VALUE"""),10002)</f>
        <v>10002</v>
      </c>
      <c r="C692" s="24" t="n">
        <f aca="false">IFERROR(__xludf.dummyfunction("""COMPUTED_VALUE"""),10)</f>
        <v>10</v>
      </c>
      <c r="D692" s="0" t="n">
        <f aca="false">IFERROR(__xludf.dummyfunction("""COMPUTED_VALUE"""),1)</f>
        <v>1</v>
      </c>
      <c r="E692" s="0" t="n">
        <f aca="false">IFERROR(__xludf.dummyfunction("""COMPUTED_VALUE"""),20)</f>
        <v>20</v>
      </c>
      <c r="F692" s="0" t="str">
        <f aca="false">IFERROR(__xludf.dummyfunction("filter(Formulas!$C:$C,Formulas!$A:$A=B692)"),"""formula"":[{""sku"":""1201"",""req"":1},{""sku"":""1105"",""req"":1},{""sku"":""1013"",""req"":5},{""sku"":""1210"",""req"":1},{""sku"":""1116"",""req"":1}]")</f>
        <v>"formula":[{"sku":"1201","req":1},{"sku":"1105","req":1},{"sku":"1013","req":5},{"sku":"1210","req":1},{"sku":"1116","req":1}]</v>
      </c>
      <c r="G692" s="0" t="n">
        <f aca="false">IFERROR(__xludf.dummyfunction("""COMPUTED_VALUE"""),1)</f>
        <v>1</v>
      </c>
      <c r="H692" s="21" t="str">
        <f aca="false">IFERROR(__xludf.dummyfunction("IF(D692,filter(Productos!AC:AC,Productos!A:A=B692),)"),"cocina")</f>
        <v>cocina</v>
      </c>
      <c r="I692" s="24" t="n">
        <f aca="false">IFERROR(__xludf.dummyfunction("""COMPUTED_VALUE"""),4500)</f>
        <v>4500</v>
      </c>
      <c r="K692" s="0" t="str">
        <f aca="false">IF(D692,"{""sku"":"""&amp;B692&amp;""", ""costo"":"&amp;C692&amp;", ""grupo"":"""&amp;A692&amp;""", ""lote"":"&amp;D692&amp;", ""tiempo"":"&amp;E692&amp;", "&amp;F692&amp;", ""vencimiento"":"&amp;G692&amp;IF(I692,", ""precio"":"&amp;I692,)&amp;", ""tipo"":"""&amp;H692&amp;"""},",)</f>
        <v>{"sku":"10002", "costo":10, "grupo":"10", "lote":1, "tiempo":20, "formula":[{"sku":"1201","req":1},{"sku":"1105","req":1},{"sku":"1013","req":5},{"sku":"1210","req":1},{"sku":"1116","req":1}], "vencimiento":1, "precio":4500, "tipo":"cocina"},</v>
      </c>
    </row>
    <row r="693" customFormat="false" ht="13" hidden="false" customHeight="false" outlineLevel="0" collapsed="false">
      <c r="A693" s="17" t="n">
        <v>10</v>
      </c>
      <c r="B693" s="0" t="n">
        <f aca="false">IFERROR(__xludf.dummyfunction("""COMPUTED_VALUE"""),10003)</f>
        <v>10003</v>
      </c>
      <c r="C693" s="24" t="n">
        <f aca="false">IFERROR(__xludf.dummyfunction("""COMPUTED_VALUE"""),10)</f>
        <v>10</v>
      </c>
      <c r="D693" s="0" t="n">
        <f aca="false">IFERROR(__xludf.dummyfunction("""COMPUTED_VALUE"""),1)</f>
        <v>1</v>
      </c>
      <c r="E693" s="0" t="n">
        <f aca="false">IFERROR(__xludf.dummyfunction("""COMPUTED_VALUE"""),30)</f>
        <v>30</v>
      </c>
      <c r="F693" s="0" t="str">
        <f aca="false">IFERROR(__xludf.dummyfunction("filter(Formulas!$C:$C,Formulas!$A:$A=B693)"),"""formula"":[{""sku"":""1201"",""req"":1},{""sku"":""1105"",""req"":1},{""sku"":""1013"",""req"":5},{""sku"":""1210"",""req"":1},{""sku"":""1211"",""req"":1},{""sku"":""1116"",""req"":1}]")</f>
        <v>"formula":[{"sku":"1201","req":1},{"sku":"1105","req":1},{"sku":"1013","req":5},{"sku":"1210","req":1},{"sku":"1211","req":1},{"sku":"1116","req":1}]</v>
      </c>
      <c r="G693" s="0" t="n">
        <f aca="false">IFERROR(__xludf.dummyfunction("""COMPUTED_VALUE"""),1)</f>
        <v>1</v>
      </c>
      <c r="H693" s="21" t="str">
        <f aca="false">IFERROR(__xludf.dummyfunction("IF(D693,filter(Productos!AC:AC,Productos!A:A=B693),)"),"cocina")</f>
        <v>cocina</v>
      </c>
      <c r="I693" s="24" t="n">
        <f aca="false">IFERROR(__xludf.dummyfunction("""COMPUTED_VALUE"""),4700)</f>
        <v>4700</v>
      </c>
      <c r="K693" s="0" t="str">
        <f aca="false">IF(D693,"{""sku"":"""&amp;B693&amp;""", ""costo"":"&amp;C693&amp;", ""grupo"":"""&amp;A693&amp;""", ""lote"":"&amp;D693&amp;", ""tiempo"":"&amp;E693&amp;", "&amp;F693&amp;", ""vencimiento"":"&amp;G693&amp;IF(I693,", ""precio"":"&amp;I693,)&amp;", ""tipo"":"""&amp;H693&amp;"""},",)</f>
        <v>{"sku":"10003", "costo":10, "grupo":"10", "lote":1, "tiempo":30, "formula":[{"sku":"1201","req":1},{"sku":"1105","req":1},{"sku":"1013","req":5},{"sku":"1210","req":1},{"sku":"1211","req":1},{"sku":"1116","req":1}], "vencimiento":1, "precio":4700, "tipo":"cocina"},</v>
      </c>
    </row>
    <row r="694" customFormat="false" ht="13" hidden="false" customHeight="false" outlineLevel="0" collapsed="false">
      <c r="A694" s="16" t="n">
        <v>10</v>
      </c>
      <c r="B694" s="0" t="n">
        <f aca="false">IFERROR(__xludf.dummyfunction("""COMPUTED_VALUE"""),10004)</f>
        <v>10004</v>
      </c>
      <c r="C694" s="24" t="n">
        <f aca="false">IFERROR(__xludf.dummyfunction("""COMPUTED_VALUE"""),10)</f>
        <v>10</v>
      </c>
      <c r="D694" s="0" t="n">
        <f aca="false">IFERROR(__xludf.dummyfunction("""COMPUTED_VALUE"""),1)</f>
        <v>1</v>
      </c>
      <c r="E694" s="0" t="n">
        <f aca="false">IFERROR(__xludf.dummyfunction("""COMPUTED_VALUE"""),10)</f>
        <v>10</v>
      </c>
      <c r="F694" s="0" t="str">
        <f aca="false">IFERROR(__xludf.dummyfunction("filter(Formulas!$C:$C,Formulas!$A:$A=B694)"),"""formula"":[{""sku"":""1201"",""req"":1},{""sku"":""1106"",""req"":4},{""sku"":""1210"",""req"":1},{""sku"":""1211"",""req"":1},{""sku"":""1116"",""req"":1}]")</f>
        <v>"formula":[{"sku":"1201","req":1},{"sku":"1106","req":4},{"sku":"1210","req":1},{"sku":"1211","req":1},{"sku":"1116","req":1}]</v>
      </c>
      <c r="G694" s="0" t="n">
        <f aca="false">IFERROR(__xludf.dummyfunction("""COMPUTED_VALUE"""),1)</f>
        <v>1</v>
      </c>
      <c r="H694" s="21" t="str">
        <f aca="false">IFERROR(__xludf.dummyfunction("IF(D694,filter(Productos!AC:AC,Productos!A:A=B694),)"),"cocina")</f>
        <v>cocina</v>
      </c>
      <c r="I694" s="24" t="n">
        <f aca="false">IFERROR(__xludf.dummyfunction("""COMPUTED_VALUE"""),4700)</f>
        <v>4700</v>
      </c>
      <c r="K694" s="0" t="str">
        <f aca="false">IF(D694,"{""sku"":"""&amp;B694&amp;""", ""costo"":"&amp;C694&amp;", ""grupo"":"""&amp;A694&amp;""", ""lote"":"&amp;D694&amp;", ""tiempo"":"&amp;E694&amp;", "&amp;F694&amp;", ""vencimiento"":"&amp;G694&amp;IF(I694,", ""precio"":"&amp;I694,)&amp;", ""tipo"":"""&amp;H694&amp;"""},",)</f>
        <v>{"sku":"10004", "costo":10, "grupo":"10", "lote":1, "tiempo":10, "formula":[{"sku":"1201","req":1},{"sku":"1106","req":4},{"sku":"1210","req":1},{"sku":"1211","req":1},{"sku":"1116","req":1}], "vencimiento":1, "precio":4700, "tipo":"cocina"},</v>
      </c>
    </row>
    <row r="695" customFormat="false" ht="13" hidden="false" customHeight="false" outlineLevel="0" collapsed="false">
      <c r="A695" s="17" t="n">
        <v>10</v>
      </c>
      <c r="B695" s="0" t="n">
        <f aca="false">IFERROR(__xludf.dummyfunction("""COMPUTED_VALUE"""),10005)</f>
        <v>10005</v>
      </c>
      <c r="C695" s="24" t="n">
        <f aca="false">IFERROR(__xludf.dummyfunction("""COMPUTED_VALUE"""),10)</f>
        <v>10</v>
      </c>
      <c r="D695" s="0" t="n">
        <f aca="false">IFERROR(__xludf.dummyfunction("""COMPUTED_VALUE"""),1)</f>
        <v>1</v>
      </c>
      <c r="E695" s="0" t="n">
        <f aca="false">IFERROR(__xludf.dummyfunction("""COMPUTED_VALUE"""),20)</f>
        <v>20</v>
      </c>
      <c r="F695" s="0" t="str">
        <f aca="false">IFERROR(__xludf.dummyfunction("filter(Formulas!$C:$C,Formulas!$A:$A=B695)"),"""formula"":[{""sku"":""1201"",""req"":1},{""sku"":""1106"",""req"":4},{""sku"":""1013"",""req"":5},{""sku"":""1210"",""req"":1},{""sku"":""1116"",""req"":1}]")</f>
        <v>"formula":[{"sku":"1201","req":1},{"sku":"1106","req":4},{"sku":"1013","req":5},{"sku":"1210","req":1},{"sku":"1116","req":1}]</v>
      </c>
      <c r="G695" s="0" t="n">
        <f aca="false">IFERROR(__xludf.dummyfunction("""COMPUTED_VALUE"""),1)</f>
        <v>1</v>
      </c>
      <c r="H695" s="21" t="str">
        <f aca="false">IFERROR(__xludf.dummyfunction("IF(D695,filter(Productos!AC:AC,Productos!A:A=B695),)"),"cocina")</f>
        <v>cocina</v>
      </c>
      <c r="I695" s="24" t="n">
        <f aca="false">IFERROR(__xludf.dummyfunction("""COMPUTED_VALUE"""),4700)</f>
        <v>4700</v>
      </c>
      <c r="K695" s="0" t="str">
        <f aca="false">IF(D695,"{""sku"":"""&amp;B695&amp;""", ""costo"":"&amp;C695&amp;", ""grupo"":"""&amp;A695&amp;""", ""lote"":"&amp;D695&amp;", ""tiempo"":"&amp;E695&amp;", "&amp;F695&amp;", ""vencimiento"":"&amp;G695&amp;IF(I695,", ""precio"":"&amp;I695,)&amp;", ""tipo"":"""&amp;H695&amp;"""},",)</f>
        <v>{"sku":"10005", "costo":10, "grupo":"10", "lote":1, "tiempo":20, "formula":[{"sku":"1201","req":1},{"sku":"1106","req":4},{"sku":"1013","req":5},{"sku":"1210","req":1},{"sku":"1116","req":1}], "vencimiento":1, "precio":4700, "tipo":"cocina"},</v>
      </c>
    </row>
    <row r="696" customFormat="false" ht="13" hidden="false" customHeight="false" outlineLevel="0" collapsed="false">
      <c r="A696" s="16" t="n">
        <v>10</v>
      </c>
      <c r="B696" s="0" t="n">
        <f aca="false">IFERROR(__xludf.dummyfunction("""COMPUTED_VALUE"""),10006)</f>
        <v>10006</v>
      </c>
      <c r="C696" s="24" t="n">
        <f aca="false">IFERROR(__xludf.dummyfunction("""COMPUTED_VALUE"""),10)</f>
        <v>10</v>
      </c>
      <c r="D696" s="0" t="n">
        <f aca="false">IFERROR(__xludf.dummyfunction("""COMPUTED_VALUE"""),1)</f>
        <v>1</v>
      </c>
      <c r="E696" s="0" t="n">
        <f aca="false">IFERROR(__xludf.dummyfunction("""COMPUTED_VALUE"""),10)</f>
        <v>10</v>
      </c>
      <c r="F696" s="0" t="str">
        <f aca="false">IFERROR(__xludf.dummyfunction("filter(Formulas!$C:$C,Formulas!$A:$A=B696)"),"""formula"":[{""sku"":""1201"",""req"":1},{""sku"":""1210"",""req"":1},{""sku"":""1107"",""req"":1},{""sku"":""1211"",""req"":1},{""sku"":""1116"",""req"":1}]")</f>
        <v>"formula":[{"sku":"1201","req":1},{"sku":"1210","req":1},{"sku":"1107","req":1},{"sku":"1211","req":1},{"sku":"1116","req":1}]</v>
      </c>
      <c r="G696" s="0" t="n">
        <f aca="false">IFERROR(__xludf.dummyfunction("""COMPUTED_VALUE"""),1)</f>
        <v>1</v>
      </c>
      <c r="H696" s="21" t="str">
        <f aca="false">IFERROR(__xludf.dummyfunction("IF(D696,filter(Productos!AC:AC,Productos!A:A=B696),)"),"cocina")</f>
        <v>cocina</v>
      </c>
      <c r="I696" s="24" t="n">
        <f aca="false">IFERROR(__xludf.dummyfunction("""COMPUTED_VALUE"""),4900)</f>
        <v>4900</v>
      </c>
      <c r="K696" s="0" t="str">
        <f aca="false">IF(D696,"{""sku"":"""&amp;B696&amp;""", ""costo"":"&amp;C696&amp;", ""grupo"":"""&amp;A696&amp;""", ""lote"":"&amp;D696&amp;", ""tiempo"":"&amp;E696&amp;", "&amp;F696&amp;", ""vencimiento"":"&amp;G696&amp;IF(I696,", ""precio"":"&amp;I696,)&amp;", ""tipo"":"""&amp;H696&amp;"""},",)</f>
        <v>{"sku":"10006", "costo":10, "grupo":"10", "lote":1, "tiempo":10, "formula":[{"sku":"1201","req":1},{"sku":"1210","req":1},{"sku":"1107","req":1},{"sku":"1211","req":1},{"sku":"1116","req":1}], "vencimiento":1, "precio":4900, "tipo":"cocina"},</v>
      </c>
    </row>
    <row r="697" customFormat="false" ht="13" hidden="false" customHeight="false" outlineLevel="0" collapsed="false">
      <c r="A697" s="17" t="n">
        <v>10</v>
      </c>
      <c r="B697" s="0" t="n">
        <f aca="false">IFERROR(__xludf.dummyfunction("""COMPUTED_VALUE"""),10007)</f>
        <v>10007</v>
      </c>
      <c r="C697" s="24" t="n">
        <f aca="false">IFERROR(__xludf.dummyfunction("""COMPUTED_VALUE"""),10)</f>
        <v>10</v>
      </c>
      <c r="D697" s="0" t="n">
        <f aca="false">IFERROR(__xludf.dummyfunction("""COMPUTED_VALUE"""),1)</f>
        <v>1</v>
      </c>
      <c r="E697" s="0" t="n">
        <f aca="false">IFERROR(__xludf.dummyfunction("""COMPUTED_VALUE"""),20)</f>
        <v>20</v>
      </c>
      <c r="F697" s="0" t="str">
        <f aca="false">IFERROR(__xludf.dummyfunction("filter(Formulas!$C:$C,Formulas!$A:$A=B697)"),"""formula"":[{""sku"":""1201"",""req"":1},{""sku"":""1013"",""req"":5},{""sku"":""1210"",""req"":1},{""sku"":""1107"",""req"":1},{""sku"":""1116"",""req"":1}]")</f>
        <v>"formula":[{"sku":"1201","req":1},{"sku":"1013","req":5},{"sku":"1210","req":1},{"sku":"1107","req":1},{"sku":"1116","req":1}]</v>
      </c>
      <c r="G697" s="0" t="n">
        <f aca="false">IFERROR(__xludf.dummyfunction("""COMPUTED_VALUE"""),1)</f>
        <v>1</v>
      </c>
      <c r="H697" s="21" t="str">
        <f aca="false">IFERROR(__xludf.dummyfunction("IF(D697,filter(Productos!AC:AC,Productos!A:A=B697),)"),"cocina")</f>
        <v>cocina</v>
      </c>
      <c r="I697" s="24" t="n">
        <f aca="false">IFERROR(__xludf.dummyfunction("""COMPUTED_VALUE"""),4900)</f>
        <v>4900</v>
      </c>
      <c r="K697" s="0" t="str">
        <f aca="false">IF(D697,"{""sku"":"""&amp;B697&amp;""", ""costo"":"&amp;C697&amp;", ""grupo"":"""&amp;A697&amp;""", ""lote"":"&amp;D697&amp;", ""tiempo"":"&amp;E697&amp;", "&amp;F697&amp;", ""vencimiento"":"&amp;G697&amp;IF(I697,", ""precio"":"&amp;I697,)&amp;", ""tipo"":"""&amp;H697&amp;"""},",)</f>
        <v>{"sku":"10007", "costo":10, "grupo":"10", "lote":1, "tiempo":20, "formula":[{"sku":"1201","req":1},{"sku":"1013","req":5},{"sku":"1210","req":1},{"sku":"1107","req":1},{"sku":"1116","req":1}], "vencimiento":1, "precio":4900, "tipo":"cocina"},</v>
      </c>
    </row>
    <row r="698" customFormat="false" ht="13" hidden="false" customHeight="false" outlineLevel="0" collapsed="false">
      <c r="A698" s="16" t="n">
        <v>10</v>
      </c>
      <c r="B698" s="0" t="n">
        <f aca="false">IFERROR(__xludf.dummyfunction("""COMPUTED_VALUE"""),10008)</f>
        <v>10008</v>
      </c>
      <c r="C698" s="24" t="n">
        <f aca="false">IFERROR(__xludf.dummyfunction("""COMPUTED_VALUE"""),10)</f>
        <v>10</v>
      </c>
      <c r="D698" s="0" t="n">
        <f aca="false">IFERROR(__xludf.dummyfunction("""COMPUTED_VALUE"""),1)</f>
        <v>1</v>
      </c>
      <c r="E698" s="0" t="n">
        <f aca="false">IFERROR(__xludf.dummyfunction("""COMPUTED_VALUE"""),20)</f>
        <v>20</v>
      </c>
      <c r="F698" s="0" t="str">
        <f aca="false">IFERROR(__xludf.dummyfunction("filter(Formulas!$C:$C,Formulas!$A:$A=B698)"),"""formula"":[{""sku"":""1201"",""req"":1},{""sku"":""1109"",""req"":1},{""sku"":""1210"",""req"":1},{""sku"":""1211"",""req"":1},{""sku"":""1116"",""req"":1}]")</f>
        <v>"formula":[{"sku":"1201","req":1},{"sku":"1109","req":1},{"sku":"1210","req":1},{"sku":"1211","req":1},{"sku":"1116","req":1}]</v>
      </c>
      <c r="G698" s="0" t="n">
        <f aca="false">IFERROR(__xludf.dummyfunction("""COMPUTED_VALUE"""),1)</f>
        <v>1</v>
      </c>
      <c r="H698" s="21" t="str">
        <f aca="false">IFERROR(__xludf.dummyfunction("IF(D698,filter(Productos!AC:AC,Productos!A:A=B698),)"),"cocina")</f>
        <v>cocina</v>
      </c>
      <c r="I698" s="24" t="n">
        <f aca="false">IFERROR(__xludf.dummyfunction("""COMPUTED_VALUE"""),4900)</f>
        <v>4900</v>
      </c>
      <c r="K698" s="0" t="str">
        <f aca="false">IF(D698,"{""sku"":"""&amp;B698&amp;""", ""costo"":"&amp;C698&amp;", ""grupo"":"""&amp;A698&amp;""", ""lote"":"&amp;D698&amp;", ""tiempo"":"&amp;E698&amp;", "&amp;F698&amp;", ""vencimiento"":"&amp;G698&amp;IF(I698,", ""precio"":"&amp;I698,)&amp;", ""tipo"":"""&amp;H698&amp;"""},",)</f>
        <v>{"sku":"10008", "costo":10, "grupo":"10", "lote":1, "tiempo":20, "formula":[{"sku":"1201","req":1},{"sku":"1109","req":1},{"sku":"1210","req":1},{"sku":"1211","req":1},{"sku":"1116","req":1}], "vencimiento":1, "precio":4900, "tipo":"cocina"},</v>
      </c>
    </row>
    <row r="699" customFormat="false" ht="13" hidden="false" customHeight="false" outlineLevel="0" collapsed="false">
      <c r="A699" s="17" t="n">
        <v>10</v>
      </c>
      <c r="B699" s="0" t="n">
        <f aca="false">IFERROR(__xludf.dummyfunction("""COMPUTED_VALUE"""),10009)</f>
        <v>10009</v>
      </c>
      <c r="C699" s="24" t="n">
        <f aca="false">IFERROR(__xludf.dummyfunction("""COMPUTED_VALUE"""),10)</f>
        <v>10</v>
      </c>
      <c r="D699" s="0" t="n">
        <f aca="false">IFERROR(__xludf.dummyfunction("""COMPUTED_VALUE"""),1)</f>
        <v>1</v>
      </c>
      <c r="E699" s="0" t="n">
        <f aca="false">IFERROR(__xludf.dummyfunction("""COMPUTED_VALUE"""),30)</f>
        <v>30</v>
      </c>
      <c r="F699" s="0" t="str">
        <f aca="false">IFERROR(__xludf.dummyfunction("filter(Formulas!$C:$C,Formulas!$A:$A=B699)"),"""formula"":[{""sku"":""1201"",""req"":1},{""sku"":""1109"",""req"":1},{""sku"":""1013"",""req"":5},{""sku"":""1210"",""req"":1},{""sku"":""1116"",""req"":1}]")</f>
        <v>"formula":[{"sku":"1201","req":1},{"sku":"1109","req":1},{"sku":"1013","req":5},{"sku":"1210","req":1},{"sku":"1116","req":1}]</v>
      </c>
      <c r="G699" s="0" t="n">
        <f aca="false">IFERROR(__xludf.dummyfunction("""COMPUTED_VALUE"""),1)</f>
        <v>1</v>
      </c>
      <c r="H699" s="21" t="str">
        <f aca="false">IFERROR(__xludf.dummyfunction("IF(D699,filter(Productos!AC:AC,Productos!A:A=B699),)"),"cocina")</f>
        <v>cocina</v>
      </c>
      <c r="I699" s="24" t="n">
        <f aca="false">IFERROR(__xludf.dummyfunction("""COMPUTED_VALUE"""),4900)</f>
        <v>4900</v>
      </c>
      <c r="K699" s="0" t="str">
        <f aca="false">IF(D699,"{""sku"":"""&amp;B699&amp;""", ""costo"":"&amp;C699&amp;", ""grupo"":"""&amp;A699&amp;""", ""lote"":"&amp;D699&amp;", ""tiempo"":"&amp;E699&amp;", "&amp;F699&amp;", ""vencimiento"":"&amp;G699&amp;IF(I699,", ""precio"":"&amp;I699,)&amp;", ""tipo"":"""&amp;H699&amp;"""},",)</f>
        <v>{"sku":"10009", "costo":10, "grupo":"10", "lote":1, "tiempo":30, "formula":[{"sku":"1201","req":1},{"sku":"1109","req":1},{"sku":"1013","req":5},{"sku":"1210","req":1},{"sku":"1116","req":1}], "vencimiento":1, "precio":4900, "tipo":"cocina"},</v>
      </c>
    </row>
    <row r="700" customFormat="false" ht="13" hidden="false" customHeight="false" outlineLevel="0" collapsed="false">
      <c r="A700" s="16" t="n">
        <v>10</v>
      </c>
      <c r="B700" s="0" t="n">
        <f aca="false">IFERROR(__xludf.dummyfunction("""COMPUTED_VALUE"""),10010)</f>
        <v>10010</v>
      </c>
      <c r="C700" s="24" t="n">
        <f aca="false">IFERROR(__xludf.dummyfunction("""COMPUTED_VALUE"""),10)</f>
        <v>10</v>
      </c>
      <c r="D700" s="0" t="n">
        <f aca="false">IFERROR(__xludf.dummyfunction("""COMPUTED_VALUE"""),1)</f>
        <v>1</v>
      </c>
      <c r="E700" s="0" t="n">
        <f aca="false">IFERROR(__xludf.dummyfunction("""COMPUTED_VALUE"""),10)</f>
        <v>10</v>
      </c>
      <c r="F700" s="0" t="str">
        <f aca="false">IFERROR(__xludf.dummyfunction("filter(Formulas!$C:$C,Formulas!$A:$A=B700)"),"""formula"":[{""sku"":""1201"",""req"":1},{""sku"":""1106"",""req"":4},{""sku"":""1210"",""req"":1},{""sku"":""1110"",""req"":1},{""sku"":""1116"",""req"":1}]")</f>
        <v>"formula":[{"sku":"1201","req":1},{"sku":"1106","req":4},{"sku":"1210","req":1},{"sku":"1110","req":1},{"sku":"1116","req":1}]</v>
      </c>
      <c r="G700" s="0" t="n">
        <f aca="false">IFERROR(__xludf.dummyfunction("""COMPUTED_VALUE"""),1)</f>
        <v>1</v>
      </c>
      <c r="H700" s="21" t="str">
        <f aca="false">IFERROR(__xludf.dummyfunction("IF(D700,filter(Productos!AC:AC,Productos!A:A=B700),)"),"cocina")</f>
        <v>cocina</v>
      </c>
      <c r="I700" s="24" t="n">
        <f aca="false">IFERROR(__xludf.dummyfunction("""COMPUTED_VALUE"""),4900)</f>
        <v>4900</v>
      </c>
      <c r="K700" s="0" t="str">
        <f aca="false">IF(D700,"{""sku"":"""&amp;B700&amp;""", ""costo"":"&amp;C700&amp;", ""grupo"":"""&amp;A700&amp;""", ""lote"":"&amp;D700&amp;", ""tiempo"":"&amp;E700&amp;", "&amp;F700&amp;", ""vencimiento"":"&amp;G700&amp;IF(I700,", ""precio"":"&amp;I700,)&amp;", ""tipo"":"""&amp;H700&amp;"""},",)</f>
        <v>{"sku":"10010", "costo":10, "grupo":"10", "lote":1, "tiempo":10, "formula":[{"sku":"1201","req":1},{"sku":"1106","req":4},{"sku":"1210","req":1},{"sku":"1110","req":1},{"sku":"1116","req":1}], "vencimiento":1, "precio":4900, "tipo":"cocina"},</v>
      </c>
    </row>
    <row r="701" customFormat="false" ht="13" hidden="false" customHeight="false" outlineLevel="0" collapsed="false">
      <c r="A701" s="17" t="n">
        <v>10</v>
      </c>
      <c r="B701" s="0" t="n">
        <f aca="false">IFERROR(__xludf.dummyfunction("""COMPUTED_VALUE"""),10011)</f>
        <v>10011</v>
      </c>
      <c r="C701" s="24" t="n">
        <f aca="false">IFERROR(__xludf.dummyfunction("""COMPUTED_VALUE"""),10)</f>
        <v>10</v>
      </c>
      <c r="D701" s="0" t="n">
        <f aca="false">IFERROR(__xludf.dummyfunction("""COMPUTED_VALUE"""),1)</f>
        <v>1</v>
      </c>
      <c r="E701" s="0" t="n">
        <f aca="false">IFERROR(__xludf.dummyfunction("""COMPUTED_VALUE"""),20)</f>
        <v>20</v>
      </c>
      <c r="F701" s="0" t="str">
        <f aca="false">IFERROR(__xludf.dummyfunction("filter(Formulas!$C:$C,Formulas!$A:$A=B701)"),"""formula"":[{""sku"":""1201"",""req"":1},{""sku"":""1106"",""req"":4},{""sku"":""1114"",""req"":1},{""sku"":""1110"",""req"":1},{""sku"":""1112"",""req"":1},{""sku"":""1116"",""req"":1}]")</f>
        <v>"formula":[{"sku":"1201","req":1},{"sku":"1106","req":4},{"sku":"1114","req":1},{"sku":"1110","req":1},{"sku":"1112","req":1},{"sku":"1116","req":1}]</v>
      </c>
      <c r="G701" s="0" t="n">
        <f aca="false">IFERROR(__xludf.dummyfunction("""COMPUTED_VALUE"""),1)</f>
        <v>1</v>
      </c>
      <c r="H701" s="21" t="str">
        <f aca="false">IFERROR(__xludf.dummyfunction("IF(D701,filter(Productos!AC:AC,Productos!A:A=B701),)"),"cocina")</f>
        <v>cocina</v>
      </c>
      <c r="I701" s="24" t="n">
        <f aca="false">IFERROR(__xludf.dummyfunction("""COMPUTED_VALUE"""),5700)</f>
        <v>5700</v>
      </c>
      <c r="K701" s="0" t="str">
        <f aca="false">IF(D701,"{""sku"":"""&amp;B701&amp;""", ""costo"":"&amp;C701&amp;", ""grupo"":"""&amp;A701&amp;""", ""lote"":"&amp;D701&amp;", ""tiempo"":"&amp;E701&amp;", "&amp;F701&amp;", ""vencimiento"":"&amp;G701&amp;IF(I701,", ""precio"":"&amp;I701,)&amp;", ""tipo"":"""&amp;H701&amp;"""},",)</f>
        <v>{"sku":"10011", "costo":10, "grupo":"10", "lote":1, "tiempo":20, "formula":[{"sku":"1201","req":1},{"sku":"1106","req":4},{"sku":"1114","req":1},{"sku":"1110","req":1},{"sku":"1112","req":1},{"sku":"1116","req":1}], "vencimiento":1, "precio":5700, "tipo":"cocina"},</v>
      </c>
    </row>
    <row r="702" customFormat="false" ht="13" hidden="false" customHeight="false" outlineLevel="0" collapsed="false">
      <c r="A702" s="16" t="n">
        <v>10</v>
      </c>
      <c r="B702" s="0" t="n">
        <f aca="false">IFERROR(__xludf.dummyfunction("""COMPUTED_VALUE"""),10012)</f>
        <v>10012</v>
      </c>
      <c r="C702" s="24" t="n">
        <f aca="false">IFERROR(__xludf.dummyfunction("""COMPUTED_VALUE"""),10)</f>
        <v>10</v>
      </c>
      <c r="D702" s="0" t="n">
        <f aca="false">IFERROR(__xludf.dummyfunction("""COMPUTED_VALUE"""),1)</f>
        <v>1</v>
      </c>
      <c r="E702" s="0" t="n">
        <f aca="false">IFERROR(__xludf.dummyfunction("""COMPUTED_VALUE"""),20)</f>
        <v>20</v>
      </c>
      <c r="F702" s="0" t="str">
        <f aca="false">IFERROR(__xludf.dummyfunction("filter(Formulas!$C:$C,Formulas!$A:$A=B702)"),"""formula"":[{""sku"":""1201"",""req"":1},{""sku"":""1106"",""req"":4},{""sku"":""1110"",""req"":1},{""sku"":""1112"",""req"":1},{""sku"":""1108"",""req"":1},{""sku"":""1116"",""req"":1}]")</f>
        <v>"formula":[{"sku":"1201","req":1},{"sku":"1106","req":4},{"sku":"1110","req":1},{"sku":"1112","req":1},{"sku":"1108","req":1},{"sku":"1116","req":1}]</v>
      </c>
      <c r="G702" s="0" t="n">
        <f aca="false">IFERROR(__xludf.dummyfunction("""COMPUTED_VALUE"""),1)</f>
        <v>1</v>
      </c>
      <c r="H702" s="21" t="str">
        <f aca="false">IFERROR(__xludf.dummyfunction("IF(D702,filter(Productos!AC:AC,Productos!A:A=B702),)"),"cocina")</f>
        <v>cocina</v>
      </c>
      <c r="I702" s="24" t="n">
        <f aca="false">IFERROR(__xludf.dummyfunction("""COMPUTED_VALUE"""),5700)</f>
        <v>5700</v>
      </c>
      <c r="K702" s="0" t="str">
        <f aca="false">IF(D702,"{""sku"":"""&amp;B702&amp;""", ""costo"":"&amp;C702&amp;", ""grupo"":"""&amp;A702&amp;""", ""lote"":"&amp;D702&amp;", ""tiempo"":"&amp;E702&amp;", "&amp;F702&amp;", ""vencimiento"":"&amp;G702&amp;IF(I702,", ""precio"":"&amp;I702,)&amp;", ""tipo"":"""&amp;H702&amp;"""},",)</f>
        <v>{"sku":"10012", "costo":10, "grupo":"10", "lote":1, "tiempo":20, "formula":[{"sku":"1201","req":1},{"sku":"1106","req":4},{"sku":"1110","req":1},{"sku":"1112","req":1},{"sku":"1108","req":1},{"sku":"1116","req":1}], "vencimiento":1, "precio":5700, "tipo":"cocina"},</v>
      </c>
    </row>
    <row r="703" customFormat="false" ht="13" hidden="false" customHeight="false" outlineLevel="0" collapsed="false">
      <c r="A703" s="17" t="n">
        <v>10</v>
      </c>
      <c r="B703" s="0" t="n">
        <f aca="false">IFERROR(__xludf.dummyfunction("""COMPUTED_VALUE"""),10013)</f>
        <v>10013</v>
      </c>
      <c r="C703" s="24" t="n">
        <f aca="false">IFERROR(__xludf.dummyfunction("""COMPUTED_VALUE"""),10)</f>
        <v>10</v>
      </c>
      <c r="D703" s="0" t="n">
        <f aca="false">IFERROR(__xludf.dummyfunction("""COMPUTED_VALUE"""),1)</f>
        <v>1</v>
      </c>
      <c r="E703" s="0" t="n">
        <f aca="false">IFERROR(__xludf.dummyfunction("""COMPUTED_VALUE"""),10)</f>
        <v>10</v>
      </c>
      <c r="F703" s="0" t="str">
        <f aca="false">IFERROR(__xludf.dummyfunction("filter(Formulas!$C:$C,Formulas!$A:$A=B703)"),"""formula"":[{""sku"":""1201"",""req"":1},{""sku"":""1106"",""req"":4},{""sku"":""1110"",""req"":1},{""sku"":""1112"",""req"":1},{""sku"":""1116"",""req"":1}]")</f>
        <v>"formula":[{"sku":"1201","req":1},{"sku":"1106","req":4},{"sku":"1110","req":1},{"sku":"1112","req":1},{"sku":"1116","req":1}]</v>
      </c>
      <c r="G703" s="0" t="n">
        <f aca="false">IFERROR(__xludf.dummyfunction("""COMPUTED_VALUE"""),1)</f>
        <v>1</v>
      </c>
      <c r="H703" s="21" t="str">
        <f aca="false">IFERROR(__xludf.dummyfunction("IF(D703,filter(Productos!AC:AC,Productos!A:A=B703),)"),"cocina")</f>
        <v>cocina</v>
      </c>
      <c r="I703" s="24" t="n">
        <f aca="false">IFERROR(__xludf.dummyfunction("""COMPUTED_VALUE"""),5700)</f>
        <v>5700</v>
      </c>
      <c r="K703" s="0" t="str">
        <f aca="false">IF(D703,"{""sku"":"""&amp;B703&amp;""", ""costo"":"&amp;C703&amp;", ""grupo"":"""&amp;A703&amp;""", ""lote"":"&amp;D703&amp;", ""tiempo"":"&amp;E703&amp;", "&amp;F703&amp;", ""vencimiento"":"&amp;G703&amp;IF(I703,", ""precio"":"&amp;I703,)&amp;", ""tipo"":"""&amp;H703&amp;"""},",)</f>
        <v>{"sku":"10013", "costo":10, "grupo":"10", "lote":1, "tiempo":10, "formula":[{"sku":"1201","req":1},{"sku":"1106","req":4},{"sku":"1110","req":1},{"sku":"1112","req":1},{"sku":"1116","req":1}], "vencimiento":1, "precio":5700, "tipo":"cocina"},</v>
      </c>
    </row>
    <row r="704" customFormat="false" ht="13" hidden="false" customHeight="false" outlineLevel="0" collapsed="false">
      <c r="A704" s="16" t="n">
        <v>10</v>
      </c>
      <c r="B704" s="0" t="n">
        <f aca="false">IFERROR(__xludf.dummyfunction("""COMPUTED_VALUE"""),10014)</f>
        <v>10014</v>
      </c>
      <c r="C704" s="24" t="n">
        <f aca="false">IFERROR(__xludf.dummyfunction("""COMPUTED_VALUE"""),10)</f>
        <v>10</v>
      </c>
      <c r="D704" s="0" t="n">
        <f aca="false">IFERROR(__xludf.dummyfunction("""COMPUTED_VALUE"""),1)</f>
        <v>1</v>
      </c>
      <c r="E704" s="0" t="n">
        <f aca="false">IFERROR(__xludf.dummyfunction("""COMPUTED_VALUE"""),10)</f>
        <v>10</v>
      </c>
      <c r="F704" s="0" t="str">
        <f aca="false">IFERROR(__xludf.dummyfunction("filter(Formulas!$C:$C,Formulas!$A:$A=B704)"),"""formula"":[{""sku"":""1201"",""req"":1},{""sku"":""1105"",""req"":1},{""sku"":""1110"",""req"":1},{""sku"":""1112"",""req"":1},{""sku"":""1116"",""req"":1}]")</f>
        <v>"formula":[{"sku":"1201","req":1},{"sku":"1105","req":1},{"sku":"1110","req":1},{"sku":"1112","req":1},{"sku":"1116","req":1}]</v>
      </c>
      <c r="G704" s="0" t="n">
        <f aca="false">IFERROR(__xludf.dummyfunction("""COMPUTED_VALUE"""),1)</f>
        <v>1</v>
      </c>
      <c r="H704" s="21" t="str">
        <f aca="false">IFERROR(__xludf.dummyfunction("IF(D704,filter(Productos!AC:AC,Productos!A:A=B704),)"),"cocina")</f>
        <v>cocina</v>
      </c>
      <c r="I704" s="24" t="n">
        <f aca="false">IFERROR(__xludf.dummyfunction("""COMPUTED_VALUE"""),4900)</f>
        <v>4900</v>
      </c>
      <c r="K704" s="0" t="str">
        <f aca="false">IF(D704,"{""sku"":"""&amp;B704&amp;""", ""costo"":"&amp;C704&amp;", ""grupo"":"""&amp;A704&amp;""", ""lote"":"&amp;D704&amp;", ""tiempo"":"&amp;E704&amp;", "&amp;F704&amp;", ""vencimiento"":"&amp;G704&amp;IF(I704,", ""precio"":"&amp;I704,)&amp;", ""tipo"":"""&amp;H704&amp;"""},",)</f>
        <v>{"sku":"10014", "costo":10, "grupo":"10", "lote":1, "tiempo":10, "formula":[{"sku":"1201","req":1},{"sku":"1105","req":1},{"sku":"1110","req":1},{"sku":"1112","req":1},{"sku":"1116","req":1}], "vencimiento":1, "precio":4900, "tipo":"cocina"},</v>
      </c>
    </row>
    <row r="705" customFormat="false" ht="13" hidden="false" customHeight="false" outlineLevel="0" collapsed="false">
      <c r="A705" s="17" t="n">
        <v>10</v>
      </c>
      <c r="B705" s="0" t="n">
        <f aca="false">IFERROR(__xludf.dummyfunction("""COMPUTED_VALUE"""),10015)</f>
        <v>10015</v>
      </c>
      <c r="C705" s="24" t="n">
        <f aca="false">IFERROR(__xludf.dummyfunction("""COMPUTED_VALUE"""),10)</f>
        <v>10</v>
      </c>
      <c r="D705" s="0" t="n">
        <f aca="false">IFERROR(__xludf.dummyfunction("""COMPUTED_VALUE"""),1)</f>
        <v>1</v>
      </c>
      <c r="E705" s="0" t="n">
        <f aca="false">IFERROR(__xludf.dummyfunction("""COMPUTED_VALUE"""),20)</f>
        <v>20</v>
      </c>
      <c r="F705" s="0" t="str">
        <f aca="false">IFERROR(__xludf.dummyfunction("filter(Formulas!$C:$C,Formulas!$A:$A=B705)"),"""formula"":[{""sku"":""1201"",""req"":1},{""sku"":""1109"",""req"":1},{""sku"":""1115"",""req"":1},{""sku"":""1110"",""req"":1},{""sku"":""1112"",""req"":1},{""sku"":""1116"",""req"":1}]")</f>
        <v>"formula":[{"sku":"1201","req":1},{"sku":"1109","req":1},{"sku":"1115","req":1},{"sku":"1110","req":1},{"sku":"1112","req":1},{"sku":"1116","req":1}]</v>
      </c>
      <c r="G705" s="0" t="n">
        <f aca="false">IFERROR(__xludf.dummyfunction("""COMPUTED_VALUE"""),1)</f>
        <v>1</v>
      </c>
      <c r="H705" s="21" t="str">
        <f aca="false">IFERROR(__xludf.dummyfunction("IF(D705,filter(Productos!AC:AC,Productos!A:A=B705),)"),"cocina")</f>
        <v>cocina</v>
      </c>
      <c r="I705" s="24" t="n">
        <f aca="false">IFERROR(__xludf.dummyfunction("""COMPUTED_VALUE"""),5700)</f>
        <v>5700</v>
      </c>
      <c r="K705" s="0" t="str">
        <f aca="false">IF(D705,"{""sku"":"""&amp;B705&amp;""", ""costo"":"&amp;C705&amp;", ""grupo"":"""&amp;A705&amp;""", ""lote"":"&amp;D705&amp;", ""tiempo"":"&amp;E705&amp;", "&amp;F705&amp;", ""vencimiento"":"&amp;G705&amp;IF(I705,", ""precio"":"&amp;I705,)&amp;", ""tipo"":"""&amp;H705&amp;"""},",)</f>
        <v>{"sku":"10015", "costo":10, "grupo":"10", "lote":1, "tiempo":20, "formula":[{"sku":"1201","req":1},{"sku":"1109","req":1},{"sku":"1115","req":1},{"sku":"1110","req":1},{"sku":"1112","req":1},{"sku":"1116","req":1}], "vencimiento":1, "precio":5700, "tipo":"cocina"},</v>
      </c>
    </row>
    <row r="706" customFormat="false" ht="13" hidden="false" customHeight="false" outlineLevel="0" collapsed="false">
      <c r="A706" s="16" t="n">
        <v>10</v>
      </c>
      <c r="B706" s="0" t="n">
        <f aca="false">IFERROR(__xludf.dummyfunction("""COMPUTED_VALUE"""),10016)</f>
        <v>10016</v>
      </c>
      <c r="C706" s="24" t="n">
        <f aca="false">IFERROR(__xludf.dummyfunction("""COMPUTED_VALUE"""),10)</f>
        <v>10</v>
      </c>
      <c r="D706" s="0" t="n">
        <f aca="false">IFERROR(__xludf.dummyfunction("""COMPUTED_VALUE"""),1)</f>
        <v>1</v>
      </c>
      <c r="E706" s="0" t="n">
        <f aca="false">IFERROR(__xludf.dummyfunction("""COMPUTED_VALUE"""),20)</f>
        <v>20</v>
      </c>
      <c r="F706" s="0" t="str">
        <f aca="false">IFERROR(__xludf.dummyfunction("filter(Formulas!$C:$C,Formulas!$A:$A=B706)"),"""formula"":[{""sku"":""1201"",""req"":1},{""sku"":""1106"",""req"":4},{""sku"":""1110"",""req"":1},{""sku"":""1112"",""req"":1},{""sku"":""1107"",""req"":1},{""sku"":""1116"",""req"":1}]")</f>
        <v>"formula":[{"sku":"1201","req":1},{"sku":"1106","req":4},{"sku":"1110","req":1},{"sku":"1112","req":1},{"sku":"1107","req":1},{"sku":"1116","req":1}]</v>
      </c>
      <c r="G706" s="0" t="n">
        <f aca="false">IFERROR(__xludf.dummyfunction("""COMPUTED_VALUE"""),1)</f>
        <v>1</v>
      </c>
      <c r="H706" s="21" t="str">
        <f aca="false">IFERROR(__xludf.dummyfunction("IF(D706,filter(Productos!AC:AC,Productos!A:A=B706),)"),"cocina")</f>
        <v>cocina</v>
      </c>
      <c r="I706" s="24" t="n">
        <f aca="false">IFERROR(__xludf.dummyfunction("""COMPUTED_VALUE"""),5700)</f>
        <v>5700</v>
      </c>
      <c r="K706" s="0" t="str">
        <f aca="false">IF(D706,"{""sku"":"""&amp;B706&amp;""", ""costo"":"&amp;C706&amp;", ""grupo"":"""&amp;A706&amp;""", ""lote"":"&amp;D706&amp;", ""tiempo"":"&amp;E706&amp;", "&amp;F706&amp;", ""vencimiento"":"&amp;G706&amp;IF(I706,", ""precio"":"&amp;I706,)&amp;", ""tipo"":"""&amp;H706&amp;"""},",)</f>
        <v>{"sku":"10016", "costo":10, "grupo":"10", "lote":1, "tiempo":20, "formula":[{"sku":"1201","req":1},{"sku":"1106","req":4},{"sku":"1110","req":1},{"sku":"1112","req":1},{"sku":"1107","req":1},{"sku":"1116","req":1}], "vencimiento":1, "precio":5700, "tipo":"cocina"},</v>
      </c>
    </row>
    <row r="707" customFormat="false" ht="13" hidden="false" customHeight="false" outlineLevel="0" collapsed="false">
      <c r="A707" s="17" t="n">
        <v>10</v>
      </c>
      <c r="B707" s="0" t="n">
        <f aca="false">IFERROR(__xludf.dummyfunction("""COMPUTED_VALUE"""),10017)</f>
        <v>10017</v>
      </c>
      <c r="C707" s="24" t="n">
        <f aca="false">IFERROR(__xludf.dummyfunction("""COMPUTED_VALUE"""),10)</f>
        <v>10</v>
      </c>
      <c r="D707" s="0" t="n">
        <f aca="false">IFERROR(__xludf.dummyfunction("""COMPUTED_VALUE"""),1)</f>
        <v>1</v>
      </c>
      <c r="E707" s="0" t="n">
        <f aca="false">IFERROR(__xludf.dummyfunction("""COMPUTED_VALUE"""),10)</f>
        <v>10</v>
      </c>
      <c r="F707" s="0" t="str">
        <f aca="false">IFERROR(__xludf.dummyfunction("filter(Formulas!$C:$C,Formulas!$A:$A=B707)"),"""formula"":[{""sku"":""1201"",""req"":1},{""sku"":""1110"",""req"":1},{""sku"":""1112"",""req"":1},{""sku"":""1107"",""req"":1},{""sku"":""1116"",""req"":1}]")</f>
        <v>"formula":[{"sku":"1201","req":1},{"sku":"1110","req":1},{"sku":"1112","req":1},{"sku":"1107","req":1},{"sku":"1116","req":1}]</v>
      </c>
      <c r="G707" s="0" t="n">
        <f aca="false">IFERROR(__xludf.dummyfunction("""COMPUTED_VALUE"""),1)</f>
        <v>1</v>
      </c>
      <c r="H707" s="21" t="str">
        <f aca="false">IFERROR(__xludf.dummyfunction("IF(D707,filter(Productos!AC:AC,Productos!A:A=B707),)"),"cocina")</f>
        <v>cocina</v>
      </c>
      <c r="I707" s="24" t="n">
        <f aca="false">IFERROR(__xludf.dummyfunction("""COMPUTED_VALUE"""),5700)</f>
        <v>5700</v>
      </c>
      <c r="K707" s="0" t="str">
        <f aca="false">IF(D707,"{""sku"":"""&amp;B707&amp;""", ""costo"":"&amp;C707&amp;", ""grupo"":"""&amp;A707&amp;""", ""lote"":"&amp;D707&amp;", ""tiempo"":"&amp;E707&amp;", "&amp;F707&amp;", ""vencimiento"":"&amp;G707&amp;IF(I707,", ""precio"":"&amp;I707,)&amp;", ""tipo"":"""&amp;H707&amp;"""},",)</f>
        <v>{"sku":"10017", "costo":10, "grupo":"10", "lote":1, "tiempo":10, "formula":[{"sku":"1201","req":1},{"sku":"1110","req":1},{"sku":"1112","req":1},{"sku":"1107","req":1},{"sku":"1116","req":1}], "vencimiento":1, "precio":5700, "tipo":"cocina"},</v>
      </c>
    </row>
    <row r="708" customFormat="false" ht="13" hidden="false" customHeight="false" outlineLevel="0" collapsed="false">
      <c r="A708" s="16" t="n">
        <v>10</v>
      </c>
      <c r="B708" s="0" t="n">
        <f aca="false">IFERROR(__xludf.dummyfunction("""COMPUTED_VALUE"""),10018)</f>
        <v>10018</v>
      </c>
      <c r="C708" s="24" t="n">
        <f aca="false">IFERROR(__xludf.dummyfunction("""COMPUTED_VALUE"""),10)</f>
        <v>10</v>
      </c>
      <c r="D708" s="0" t="n">
        <f aca="false">IFERROR(__xludf.dummyfunction("""COMPUTED_VALUE"""),1)</f>
        <v>1</v>
      </c>
      <c r="E708" s="0" t="n">
        <f aca="false">IFERROR(__xludf.dummyfunction("""COMPUTED_VALUE"""),10)</f>
        <v>10</v>
      </c>
      <c r="F708" s="0" t="str">
        <f aca="false">IFERROR(__xludf.dummyfunction("filter(Formulas!$C:$C,Formulas!$A:$A=B708)"),"""formula"":[{""sku"":""1201"",""req"":1},{""sku"":""1105"",""req"":1},{""sku"":""1112"",""req"":1},{""sku"":""1407"",""req"":1},{""sku"":""1116"",""req"":1}]")</f>
        <v>"formula":[{"sku":"1201","req":1},{"sku":"1105","req":1},{"sku":"1112","req":1},{"sku":"1407","req":1},{"sku":"1116","req":1}]</v>
      </c>
      <c r="G708" s="0" t="n">
        <f aca="false">IFERROR(__xludf.dummyfunction("""COMPUTED_VALUE"""),1)</f>
        <v>1</v>
      </c>
      <c r="H708" s="21" t="str">
        <f aca="false">IFERROR(__xludf.dummyfunction("IF(D708,filter(Productos!AC:AC,Productos!A:A=B708),)"),"cocina")</f>
        <v>cocina</v>
      </c>
      <c r="I708" s="24" t="n">
        <f aca="false">IFERROR(__xludf.dummyfunction("""COMPUTED_VALUE"""),5700)</f>
        <v>5700</v>
      </c>
      <c r="K708" s="0" t="str">
        <f aca="false">IF(D708,"{""sku"":"""&amp;B708&amp;""", ""costo"":"&amp;C708&amp;", ""grupo"":"""&amp;A708&amp;""", ""lote"":"&amp;D708&amp;", ""tiempo"":"&amp;E708&amp;", "&amp;F708&amp;", ""vencimiento"":"&amp;G708&amp;IF(I708,", ""precio"":"&amp;I708,)&amp;", ""tipo"":"""&amp;H708&amp;"""},",)</f>
        <v>{"sku":"10018", "costo":10, "grupo":"10", "lote":1, "tiempo":10, "formula":[{"sku":"1201","req":1},{"sku":"1105","req":1},{"sku":"1112","req":1},{"sku":"1407","req":1},{"sku":"1116","req":1}], "vencimiento":1, "precio":5700, "tipo":"cocina"},</v>
      </c>
    </row>
    <row r="709" customFormat="false" ht="13" hidden="false" customHeight="false" outlineLevel="0" collapsed="false">
      <c r="A709" s="17" t="n">
        <v>10</v>
      </c>
      <c r="B709" s="0" t="n">
        <f aca="false">IFERROR(__xludf.dummyfunction("""COMPUTED_VALUE"""),10019)</f>
        <v>10019</v>
      </c>
      <c r="C709" s="24" t="n">
        <f aca="false">IFERROR(__xludf.dummyfunction("""COMPUTED_VALUE"""),10)</f>
        <v>10</v>
      </c>
      <c r="D709" s="0" t="n">
        <f aca="false">IFERROR(__xludf.dummyfunction("""COMPUTED_VALUE"""),1)</f>
        <v>1</v>
      </c>
      <c r="E709" s="0" t="n">
        <f aca="false">IFERROR(__xludf.dummyfunction("""COMPUTED_VALUE"""),10)</f>
        <v>10</v>
      </c>
      <c r="F709" s="0" t="str">
        <f aca="false">IFERROR(__xludf.dummyfunction("filter(Formulas!$C:$C,Formulas!$A:$A=B709)"),"""formula"":[{""sku"":""1201"",""req"":1},{""sku"":""1106"",""req"":4},{""sku"":""1210"",""req"":1},{""sku"":""1116"",""req"":1},{""sku"":""1407"",""req"":1}]")</f>
        <v>"formula":[{"sku":"1201","req":1},{"sku":"1106","req":4},{"sku":"1210","req":1},{"sku":"1116","req":1},{"sku":"1407","req":1}]</v>
      </c>
      <c r="G709" s="0" t="n">
        <f aca="false">IFERROR(__xludf.dummyfunction("""COMPUTED_VALUE"""),1)</f>
        <v>1</v>
      </c>
      <c r="H709" s="21" t="str">
        <f aca="false">IFERROR(__xludf.dummyfunction("IF(D709,filter(Productos!AC:AC,Productos!A:A=B709),)"),"cocina")</f>
        <v>cocina</v>
      </c>
      <c r="I709" s="24" t="n">
        <f aca="false">IFERROR(__xludf.dummyfunction("""COMPUTED_VALUE"""),5700)</f>
        <v>5700</v>
      </c>
      <c r="K709" s="0" t="str">
        <f aca="false">IF(D709,"{""sku"":"""&amp;B709&amp;""", ""costo"":"&amp;C709&amp;", ""grupo"":"""&amp;A709&amp;""", ""lote"":"&amp;D709&amp;", ""tiempo"":"&amp;E709&amp;", "&amp;F709&amp;", ""vencimiento"":"&amp;G709&amp;IF(I709,", ""precio"":"&amp;I709,)&amp;", ""tipo"":"""&amp;H709&amp;"""},",)</f>
        <v>{"sku":"10019", "costo":10, "grupo":"10", "lote":1, "tiempo":10, "formula":[{"sku":"1201","req":1},{"sku":"1106","req":4},{"sku":"1210","req":1},{"sku":"1116","req":1},{"sku":"1407","req":1}], "vencimiento":1, "precio":5700, "tipo":"cocina"},</v>
      </c>
    </row>
    <row r="710" customFormat="false" ht="13" hidden="false" customHeight="false" outlineLevel="0" collapsed="false">
      <c r="A710" s="16" t="n">
        <v>10</v>
      </c>
      <c r="B710" s="0" t="n">
        <f aca="false">IFERROR(__xludf.dummyfunction("""COMPUTED_VALUE"""),10020)</f>
        <v>10020</v>
      </c>
      <c r="C710" s="24" t="n">
        <f aca="false">IFERROR(__xludf.dummyfunction("""COMPUTED_VALUE"""),10)</f>
        <v>10</v>
      </c>
      <c r="D710" s="0" t="n">
        <f aca="false">IFERROR(__xludf.dummyfunction("""COMPUTED_VALUE"""),1)</f>
        <v>1</v>
      </c>
      <c r="E710" s="0" t="n">
        <f aca="false">IFERROR(__xludf.dummyfunction("""COMPUTED_VALUE"""),20)</f>
        <v>20</v>
      </c>
      <c r="F710" s="0" t="str">
        <f aca="false">IFERROR(__xludf.dummyfunction("filter(Formulas!$C:$C,Formulas!$A:$A=B710)"),"""formula"":[{""sku"":""1201"",""req"":1},{""sku"":""1116"",""req"":1},{""sku"":""1106"",""req"":4},{""sku"":""1112"",""req"":1},{""sku"":""1114"",""req"":1},{""sku"":""1407"",""req"":1}]")</f>
        <v>"formula":[{"sku":"1201","req":1},{"sku":"1116","req":1},{"sku":"1106","req":4},{"sku":"1112","req":1},{"sku":"1114","req":1},{"sku":"1407","req":1}]</v>
      </c>
      <c r="G710" s="0" t="n">
        <f aca="false">IFERROR(__xludf.dummyfunction("""COMPUTED_VALUE"""),1)</f>
        <v>1</v>
      </c>
      <c r="H710" s="21" t="str">
        <f aca="false">IFERROR(__xludf.dummyfunction("IF(D710,filter(Productos!AC:AC,Productos!A:A=B710),)"),"cocina")</f>
        <v>cocina</v>
      </c>
      <c r="I710" s="24" t="n">
        <f aca="false">IFERROR(__xludf.dummyfunction("""COMPUTED_VALUE"""),5900)</f>
        <v>5900</v>
      </c>
      <c r="K710" s="0" t="str">
        <f aca="false">IF(D710,"{""sku"":"""&amp;B710&amp;""", ""costo"":"&amp;C710&amp;", ""grupo"":"""&amp;A710&amp;""", ""lote"":"&amp;D710&amp;", ""tiempo"":"&amp;E710&amp;", "&amp;F710&amp;", ""vencimiento"":"&amp;G710&amp;IF(I710,", ""precio"":"&amp;I710,)&amp;", ""tipo"":"""&amp;H710&amp;"""},",)</f>
        <v>{"sku":"10020", "costo":10, "grupo":"10", "lote":1, "tiempo":20, "formula":[{"sku":"1201","req":1},{"sku":"1116","req":1},{"sku":"1106","req":4},{"sku":"1112","req":1},{"sku":"1114","req":1},{"sku":"1407","req":1}], "vencimiento":1, "precio":5900, "tipo":"cocina"},</v>
      </c>
    </row>
    <row r="711" customFormat="false" ht="13" hidden="false" customHeight="false" outlineLevel="0" collapsed="false">
      <c r="A711" s="17" t="n">
        <v>10</v>
      </c>
      <c r="B711" s="0" t="n">
        <f aca="false">IFERROR(__xludf.dummyfunction("""COMPUTED_VALUE"""),10021)</f>
        <v>10021</v>
      </c>
      <c r="C711" s="24" t="n">
        <f aca="false">IFERROR(__xludf.dummyfunction("""COMPUTED_VALUE"""),10)</f>
        <v>10</v>
      </c>
      <c r="D711" s="0" t="n">
        <f aca="false">IFERROR(__xludf.dummyfunction("""COMPUTED_VALUE"""),1)</f>
        <v>1</v>
      </c>
      <c r="E711" s="0" t="n">
        <f aca="false">IFERROR(__xludf.dummyfunction("""COMPUTED_VALUE"""),10)</f>
        <v>10</v>
      </c>
      <c r="F711" s="0" t="str">
        <f aca="false">IFERROR(__xludf.dummyfunction("filter(Formulas!$C:$C,Formulas!$A:$A=B711)"),"""formula"":[{""sku"":""1201"",""req"":1},{""sku"":""1116"",""req"":1},{""sku"":""1109"",""req"":1},{""sku"":""1114"",""req"":1},{""sku"":""1407"",""req"":1}]")</f>
        <v>"formula":[{"sku":"1201","req":1},{"sku":"1116","req":1},{"sku":"1109","req":1},{"sku":"1114","req":1},{"sku":"1407","req":1}]</v>
      </c>
      <c r="G711" s="0" t="n">
        <f aca="false">IFERROR(__xludf.dummyfunction("""COMPUTED_VALUE"""),1)</f>
        <v>1</v>
      </c>
      <c r="H711" s="21" t="str">
        <f aca="false">IFERROR(__xludf.dummyfunction("IF(D711,filter(Productos!AC:AC,Productos!A:A=B711),)"),"cocina")</f>
        <v>cocina</v>
      </c>
      <c r="I711" s="24" t="n">
        <f aca="false">IFERROR(__xludf.dummyfunction("""COMPUTED_VALUE"""),5900)</f>
        <v>5900</v>
      </c>
      <c r="K711" s="0" t="str">
        <f aca="false">IF(D711,"{""sku"":"""&amp;B711&amp;""", ""costo"":"&amp;C711&amp;", ""grupo"":"""&amp;A711&amp;""", ""lote"":"&amp;D711&amp;", ""tiempo"":"&amp;E711&amp;", "&amp;F711&amp;", ""vencimiento"":"&amp;G711&amp;IF(I711,", ""precio"":"&amp;I711,)&amp;", ""tipo"":"""&amp;H711&amp;"""},",)</f>
        <v>{"sku":"10021", "costo":10, "grupo":"10", "lote":1, "tiempo":10, "formula":[{"sku":"1201","req":1},{"sku":"1116","req":1},{"sku":"1109","req":1},{"sku":"1114","req":1},{"sku":"1407","req":1}], "vencimiento":1, "precio":5900, "tipo":"cocina"},</v>
      </c>
    </row>
    <row r="712" customFormat="false" ht="13" hidden="false" customHeight="false" outlineLevel="0" collapsed="false">
      <c r="A712" s="16" t="n">
        <v>10</v>
      </c>
      <c r="B712" s="0" t="n">
        <f aca="false">IFERROR(__xludf.dummyfunction("""COMPUTED_VALUE"""),10022)</f>
        <v>10022</v>
      </c>
      <c r="C712" s="24" t="n">
        <f aca="false">IFERROR(__xludf.dummyfunction("""COMPUTED_VALUE"""),10)</f>
        <v>10</v>
      </c>
      <c r="D712" s="0" t="n">
        <f aca="false">IFERROR(__xludf.dummyfunction("""COMPUTED_VALUE"""),1)</f>
        <v>1</v>
      </c>
      <c r="E712" s="0" t="n">
        <f aca="false">IFERROR(__xludf.dummyfunction("""COMPUTED_VALUE"""),20)</f>
        <v>20</v>
      </c>
      <c r="F712" s="0" t="str">
        <f aca="false">IFERROR(__xludf.dummyfunction("filter(Formulas!$C:$C,Formulas!$A:$A=B712)"),"""formula"":[{""sku"":""1201"",""req"":1},{""sku"":""1116"",""req"":1},{""sku"":""1107"",""req"":1},{""sku"":""1112"",""req"":1},{""sku"":""1210"",""req"":1},{""sku"":""1215"",""req"":1}]")</f>
        <v>"formula":[{"sku":"1201","req":1},{"sku":"1116","req":1},{"sku":"1107","req":1},{"sku":"1112","req":1},{"sku":"1210","req":1},{"sku":"1215","req":1}]</v>
      </c>
      <c r="G712" s="0" t="n">
        <f aca="false">IFERROR(__xludf.dummyfunction("""COMPUTED_VALUE"""),1)</f>
        <v>1</v>
      </c>
      <c r="H712" s="21" t="str">
        <f aca="false">IFERROR(__xludf.dummyfunction("IF(D712,filter(Productos!AC:AC,Productos!A:A=B712),)"),"cocina")</f>
        <v>cocina</v>
      </c>
      <c r="I712" s="24" t="n">
        <f aca="false">IFERROR(__xludf.dummyfunction("""COMPUTED_VALUE"""),5500)</f>
        <v>5500</v>
      </c>
      <c r="K712" s="0" t="str">
        <f aca="false">IF(D712,"{""sku"":"""&amp;B712&amp;""", ""costo"":"&amp;C712&amp;", ""grupo"":"""&amp;A712&amp;""", ""lote"":"&amp;D712&amp;", ""tiempo"":"&amp;E712&amp;", "&amp;F712&amp;", ""vencimiento"":"&amp;G712&amp;IF(I712,", ""precio"":"&amp;I712,)&amp;", ""tipo"":"""&amp;H712&amp;"""},",)</f>
        <v>{"sku":"10022", "costo":10, "grupo":"10", "lote":1, "tiempo":20, "formula":[{"sku":"1201","req":1},{"sku":"1116","req":1},{"sku":"1107","req":1},{"sku":"1112","req":1},{"sku":"1210","req":1},{"sku":"1215","req":1}], "vencimiento":1, "precio":5500, "tipo":"cocina"},</v>
      </c>
    </row>
    <row r="713" customFormat="false" ht="13" hidden="false" customHeight="false" outlineLevel="0" collapsed="false">
      <c r="A713" s="17" t="n">
        <v>10</v>
      </c>
      <c r="B713" s="0" t="n">
        <f aca="false">IFERROR(__xludf.dummyfunction("""COMPUTED_VALUE"""),10023)</f>
        <v>10023</v>
      </c>
      <c r="C713" s="24" t="n">
        <f aca="false">IFERROR(__xludf.dummyfunction("""COMPUTED_VALUE"""),10)</f>
        <v>10</v>
      </c>
      <c r="D713" s="0" t="n">
        <f aca="false">IFERROR(__xludf.dummyfunction("""COMPUTED_VALUE"""),1)</f>
        <v>1</v>
      </c>
      <c r="E713" s="0" t="n">
        <f aca="false">IFERROR(__xludf.dummyfunction("""COMPUTED_VALUE"""),20)</f>
        <v>20</v>
      </c>
      <c r="F713" s="0" t="str">
        <f aca="false">IFERROR(__xludf.dummyfunction("filter(Formulas!$C:$C,Formulas!$A:$A=B713)"),"""formula"":[{""sku"":""1201"",""req"":1},{""sku"":""1116"",""req"":1},{""sku"":""1109"",""req"":1},{""sku"":""1112"",""req"":1},{""sku"":""1210"",""req"":1},{""sku"":""1215"",""req"":1}]")</f>
        <v>"formula":[{"sku":"1201","req":1},{"sku":"1116","req":1},{"sku":"1109","req":1},{"sku":"1112","req":1},{"sku":"1210","req":1},{"sku":"1215","req":1}]</v>
      </c>
      <c r="G713" s="0" t="n">
        <f aca="false">IFERROR(__xludf.dummyfunction("""COMPUTED_VALUE"""),1)</f>
        <v>1</v>
      </c>
      <c r="H713" s="21" t="str">
        <f aca="false">IFERROR(__xludf.dummyfunction("IF(D713,filter(Productos!AC:AC,Productos!A:A=B713),)"),"cocina")</f>
        <v>cocina</v>
      </c>
      <c r="I713" s="24" t="n">
        <f aca="false">IFERROR(__xludf.dummyfunction("""COMPUTED_VALUE"""),5500)</f>
        <v>5500</v>
      </c>
      <c r="K713" s="0" t="str">
        <f aca="false">IF(D713,"{""sku"":"""&amp;B713&amp;""", ""costo"":"&amp;C713&amp;", ""grupo"":"""&amp;A713&amp;""", ""lote"":"&amp;D713&amp;", ""tiempo"":"&amp;E713&amp;", "&amp;F713&amp;", ""vencimiento"":"&amp;G713&amp;IF(I713,", ""precio"":"&amp;I713,)&amp;", ""tipo"":"""&amp;H713&amp;"""},",)</f>
        <v>{"sku":"10023", "costo":10, "grupo":"10", "lote":1, "tiempo":20, "formula":[{"sku":"1201","req":1},{"sku":"1116","req":1},{"sku":"1109","req":1},{"sku":"1112","req":1},{"sku":"1210","req":1},{"sku":"1215","req":1}], "vencimiento":1, "precio":5500, "tipo":"cocina"},</v>
      </c>
    </row>
    <row r="714" customFormat="false" ht="13" hidden="false" customHeight="false" outlineLevel="0" collapsed="false">
      <c r="A714" s="16" t="n">
        <v>10</v>
      </c>
      <c r="B714" s="0" t="n">
        <f aca="false">IFERROR(__xludf.dummyfunction("""COMPUTED_VALUE"""),10024)</f>
        <v>10024</v>
      </c>
      <c r="C714" s="24" t="n">
        <f aca="false">IFERROR(__xludf.dummyfunction("""COMPUTED_VALUE"""),10)</f>
        <v>10</v>
      </c>
      <c r="D714" s="0" t="n">
        <f aca="false">IFERROR(__xludf.dummyfunction("""COMPUTED_VALUE"""),1)</f>
        <v>1</v>
      </c>
      <c r="E714" s="0" t="n">
        <f aca="false">IFERROR(__xludf.dummyfunction("""COMPUTED_VALUE"""),20)</f>
        <v>20</v>
      </c>
      <c r="F714" s="0" t="str">
        <f aca="false">IFERROR(__xludf.dummyfunction("filter(Formulas!$C:$C,Formulas!$A:$A=B714)"),"""formula"":[{""sku"":""1201"",""req"":1},{""sku"":""1116"",""req"":1},{""sku"":""1210"",""req"":1},{""sku"":""1114"",""req"":1},{""sku"":""1115"",""req"":1},{""sku"":""1211"",""req"":1}]")</f>
        <v>"formula":[{"sku":"1201","req":1},{"sku":"1116","req":1},{"sku":"1210","req":1},{"sku":"1114","req":1},{"sku":"1115","req":1},{"sku":"1211","req":1}]</v>
      </c>
      <c r="G714" s="0" t="n">
        <f aca="false">IFERROR(__xludf.dummyfunction("""COMPUTED_VALUE"""),1)</f>
        <v>1</v>
      </c>
      <c r="H714" s="21" t="str">
        <f aca="false">IFERROR(__xludf.dummyfunction("IF(D714,filter(Productos!AC:AC,Productos!A:A=B714),)"),"cocina")</f>
        <v>cocina</v>
      </c>
      <c r="I714" s="24" t="n">
        <f aca="false">IFERROR(__xludf.dummyfunction("""COMPUTED_VALUE"""),4900)</f>
        <v>4900</v>
      </c>
      <c r="K714" s="0" t="str">
        <f aca="false">IF(D714,"{""sku"":"""&amp;B714&amp;""", ""costo"":"&amp;C714&amp;", ""grupo"":"""&amp;A714&amp;""", ""lote"":"&amp;D714&amp;", ""tiempo"":"&amp;E714&amp;", "&amp;F714&amp;", ""vencimiento"":"&amp;G714&amp;IF(I714,", ""precio"":"&amp;I714,)&amp;", ""tipo"":"""&amp;H714&amp;"""},",)</f>
        <v>{"sku":"10024", "costo":10, "grupo":"10", "lote":1, "tiempo":20, "formula":[{"sku":"1201","req":1},{"sku":"1116","req":1},{"sku":"1210","req":1},{"sku":"1114","req":1},{"sku":"1115","req":1},{"sku":"1211","req":1}], "vencimiento":1, "precio":4900, "tipo":"cocina"},</v>
      </c>
    </row>
    <row r="715" customFormat="false" ht="13" hidden="false" customHeight="false" outlineLevel="0" collapsed="false">
      <c r="A715" s="17" t="n">
        <v>10</v>
      </c>
      <c r="B715" s="0" t="n">
        <f aca="false">IFERROR(__xludf.dummyfunction("""COMPUTED_VALUE"""),10025)</f>
        <v>10025</v>
      </c>
      <c r="C715" s="24" t="n">
        <f aca="false">IFERROR(__xludf.dummyfunction("""COMPUTED_VALUE"""),10)</f>
        <v>10</v>
      </c>
      <c r="D715" s="0" t="n">
        <f aca="false">IFERROR(__xludf.dummyfunction("""COMPUTED_VALUE"""),1)</f>
        <v>1</v>
      </c>
      <c r="E715" s="0" t="n">
        <f aca="false">IFERROR(__xludf.dummyfunction("""COMPUTED_VALUE"""),20)</f>
        <v>20</v>
      </c>
      <c r="F715" s="0" t="str">
        <f aca="false">IFERROR(__xludf.dummyfunction("filter(Formulas!$C:$C,Formulas!$A:$A=B715)"),"""formula"":[{""sku"":""1201"",""req"":1},{""sku"":""1116"",""req"":1},{""sku"":""1210"",""req"":1},{""sku"":""1114"",""req"":1},{""sku"":""1115"",""req"":1},{""sku"":""1013"",""req"":5}]")</f>
        <v>"formula":[{"sku":"1201","req":1},{"sku":"1116","req":1},{"sku":"1210","req":1},{"sku":"1114","req":1},{"sku":"1115","req":1},{"sku":"1013","req":5}]</v>
      </c>
      <c r="G715" s="0" t="n">
        <f aca="false">IFERROR(__xludf.dummyfunction("""COMPUTED_VALUE"""),1)</f>
        <v>1</v>
      </c>
      <c r="H715" s="21" t="str">
        <f aca="false">IFERROR(__xludf.dummyfunction("IF(D715,filter(Productos!AC:AC,Productos!A:A=B715),)"),"cocina")</f>
        <v>cocina</v>
      </c>
      <c r="I715" s="24" t="n">
        <f aca="false">IFERROR(__xludf.dummyfunction("""COMPUTED_VALUE"""),4900)</f>
        <v>4900</v>
      </c>
      <c r="K715" s="0" t="str">
        <f aca="false">IF(D715,"{""sku"":"""&amp;B715&amp;""", ""costo"":"&amp;C715&amp;", ""grupo"":"""&amp;A715&amp;""", ""lote"":"&amp;D715&amp;", ""tiempo"":"&amp;E715&amp;", "&amp;F715&amp;", ""vencimiento"":"&amp;G715&amp;IF(I715,", ""precio"":"&amp;I715,)&amp;", ""tipo"":"""&amp;H715&amp;"""},",)</f>
        <v>{"sku":"10025", "costo":10, "grupo":"10", "lote":1, "tiempo":20, "formula":[{"sku":"1201","req":1},{"sku":"1116","req":1},{"sku":"1210","req":1},{"sku":"1114","req":1},{"sku":"1115","req":1},{"sku":"1013","req":5}], "vencimiento":1, "precio":4900, "tipo":"cocina"},</v>
      </c>
    </row>
    <row r="716" customFormat="false" ht="13" hidden="false" customHeight="false" outlineLevel="0" collapsed="false">
      <c r="A716" s="16" t="n">
        <v>10</v>
      </c>
      <c r="B716" s="0" t="n">
        <f aca="false">IFERROR(__xludf.dummyfunction("""COMPUTED_VALUE"""),20001)</f>
        <v>20001</v>
      </c>
      <c r="C716" s="24" t="n">
        <f aca="false">IFERROR(__xludf.dummyfunction("""COMPUTED_VALUE"""),10)</f>
        <v>10</v>
      </c>
      <c r="D716" s="0" t="n">
        <f aca="false">IFERROR(__xludf.dummyfunction("""COMPUTED_VALUE"""),1)</f>
        <v>1</v>
      </c>
      <c r="E716" s="0" t="n">
        <f aca="false">IFERROR(__xludf.dummyfunction("""COMPUTED_VALUE"""),10)</f>
        <v>10</v>
      </c>
      <c r="F716" s="0" t="str">
        <f aca="false">IFERROR(__xludf.dummyfunction("filter(Formulas!$C:$C,Formulas!$A:$A=B716)"),"""formula"":[{""sku"":""1301"",""req"":1},{""sku"":""1207"",""req"":1},{""sku"":""1310"",""req"":1},{""sku"":""1112"",""req"":1},{""sku"":""1216"",""req"":1}]")</f>
        <v>"formula":[{"sku":"1301","req":1},{"sku":"1207","req":1},{"sku":"1310","req":1},{"sku":"1112","req":1},{"sku":"1216","req":1}]</v>
      </c>
      <c r="G716" s="0" t="n">
        <f aca="false">IFERROR(__xludf.dummyfunction("""COMPUTED_VALUE"""),1)</f>
        <v>1</v>
      </c>
      <c r="H716" s="21" t="str">
        <f aca="false">IFERROR(__xludf.dummyfunction("IF(D716,filter(Productos!AC:AC,Productos!A:A=B716),)"),"cocina")</f>
        <v>cocina</v>
      </c>
      <c r="I716" s="24" t="n">
        <f aca="false">IFERROR(__xludf.dummyfunction("""COMPUTED_VALUE"""),2700)</f>
        <v>2700</v>
      </c>
      <c r="K716" s="0" t="str">
        <f aca="false">IF(D716,"{""sku"":"""&amp;B716&amp;""", ""costo"":"&amp;C716&amp;", ""grupo"":"""&amp;A716&amp;""", ""lote"":"&amp;D716&amp;", ""tiempo"":"&amp;E716&amp;", "&amp;F716&amp;", ""vencimiento"":"&amp;G716&amp;IF(I716,", ""precio"":"&amp;I716,)&amp;", ""tipo"":"""&amp;H716&amp;"""},",)</f>
        <v>{"sku":"20001", "costo":10, "grupo":"10", "lote":1, "tiempo":10, "formula":[{"sku":"1301","req":1},{"sku":"1207","req":1},{"sku":"1310","req":1},{"sku":"1112","req":1},{"sku":"1216","req":1}], "vencimiento":1, "precio":2700, "tipo":"cocina"},</v>
      </c>
    </row>
    <row r="717" customFormat="false" ht="13" hidden="false" customHeight="false" outlineLevel="0" collapsed="false">
      <c r="A717" s="17" t="n">
        <v>10</v>
      </c>
      <c r="B717" s="0" t="n">
        <f aca="false">IFERROR(__xludf.dummyfunction("""COMPUTED_VALUE"""),20002)</f>
        <v>20002</v>
      </c>
      <c r="C717" s="24" t="n">
        <f aca="false">IFERROR(__xludf.dummyfunction("""COMPUTED_VALUE"""),10)</f>
        <v>10</v>
      </c>
      <c r="D717" s="0" t="n">
        <f aca="false">IFERROR(__xludf.dummyfunction("""COMPUTED_VALUE"""),1)</f>
        <v>1</v>
      </c>
      <c r="E717" s="0" t="n">
        <f aca="false">IFERROR(__xludf.dummyfunction("""COMPUTED_VALUE"""),10)</f>
        <v>10</v>
      </c>
      <c r="F717" s="0" t="str">
        <f aca="false">IFERROR(__xludf.dummyfunction("filter(Formulas!$C:$C,Formulas!$A:$A=B717)"),"""formula"":[{""sku"":""1301"",""req"":1},{""sku"":""1216"",""req"":1},{""sku"":""1106"",""req"":4}]")</f>
        <v>"formula":[{"sku":"1301","req":1},{"sku":"1216","req":1},{"sku":"1106","req":4}]</v>
      </c>
      <c r="G717" s="0" t="n">
        <f aca="false">IFERROR(__xludf.dummyfunction("""COMPUTED_VALUE"""),1)</f>
        <v>1</v>
      </c>
      <c r="H717" s="21" t="str">
        <f aca="false">IFERROR(__xludf.dummyfunction("IF(D717,filter(Productos!AC:AC,Productos!A:A=B717),)"),"cocina")</f>
        <v>cocina</v>
      </c>
      <c r="I717" s="24" t="n">
        <f aca="false">IFERROR(__xludf.dummyfunction("""COMPUTED_VALUE"""),2700)</f>
        <v>2700</v>
      </c>
      <c r="K717" s="0" t="str">
        <f aca="false">IF(D717,"{""sku"":"""&amp;B717&amp;""", ""costo"":"&amp;C717&amp;", ""grupo"":"""&amp;A717&amp;""", ""lote"":"&amp;D717&amp;", ""tiempo"":"&amp;E717&amp;", "&amp;F717&amp;", ""vencimiento"":"&amp;G717&amp;IF(I717,", ""precio"":"&amp;I717,)&amp;", ""tipo"":"""&amp;H717&amp;"""},",)</f>
        <v>{"sku":"20002", "costo":10, "grupo":"10", "lote":1, "tiempo":10, "formula":[{"sku":"1301","req":1},{"sku":"1216","req":1},{"sku":"1106","req":4}], "vencimiento":1, "precio":2700, "tipo":"cocina"},</v>
      </c>
    </row>
    <row r="718" customFormat="false" ht="13" hidden="false" customHeight="false" outlineLevel="0" collapsed="false">
      <c r="A718" s="16" t="n">
        <v>10</v>
      </c>
      <c r="B718" s="0" t="n">
        <f aca="false">IFERROR(__xludf.dummyfunction("""COMPUTED_VALUE"""),20003)</f>
        <v>20003</v>
      </c>
      <c r="C718" s="24" t="n">
        <f aca="false">IFERROR(__xludf.dummyfunction("""COMPUTED_VALUE"""),10)</f>
        <v>10</v>
      </c>
      <c r="D718" s="0" t="n">
        <f aca="false">IFERROR(__xludf.dummyfunction("""COMPUTED_VALUE"""),1)</f>
        <v>1</v>
      </c>
      <c r="E718" s="0" t="n">
        <f aca="false">IFERROR(__xludf.dummyfunction("""COMPUTED_VALUE"""),10)</f>
        <v>10</v>
      </c>
      <c r="F718" s="0" t="str">
        <f aca="false">IFERROR(__xludf.dummyfunction("filter(Formulas!$C:$C,Formulas!$A:$A=B718)"),"""formula"":[{""sku"":""1301"",""req"":1},{""sku"":""1216"",""req"":1},{""sku"":""1207"",""req"":1}]")</f>
        <v>"formula":[{"sku":"1301","req":1},{"sku":"1216","req":1},{"sku":"1207","req":1}]</v>
      </c>
      <c r="G718" s="0" t="n">
        <f aca="false">IFERROR(__xludf.dummyfunction("""COMPUTED_VALUE"""),1)</f>
        <v>1</v>
      </c>
      <c r="H718" s="21" t="str">
        <f aca="false">IFERROR(__xludf.dummyfunction("IF(D718,filter(Productos!AC:AC,Productos!A:A=B718),)"),"cocina")</f>
        <v>cocina</v>
      </c>
      <c r="I718" s="24" t="n">
        <f aca="false">IFERROR(__xludf.dummyfunction("""COMPUTED_VALUE"""),2700)</f>
        <v>2700</v>
      </c>
      <c r="K718" s="0" t="str">
        <f aca="false">IF(D718,"{""sku"":"""&amp;B718&amp;""", ""costo"":"&amp;C718&amp;", ""grupo"":"""&amp;A718&amp;""", ""lote"":"&amp;D718&amp;", ""tiempo"":"&amp;E718&amp;", "&amp;F718&amp;", ""vencimiento"":"&amp;G718&amp;IF(I718,", ""precio"":"&amp;I718,)&amp;", ""tipo"":"""&amp;H718&amp;"""},",)</f>
        <v>{"sku":"20003", "costo":10, "grupo":"10", "lote":1, "tiempo":10, "formula":[{"sku":"1301","req":1},{"sku":"1216","req":1},{"sku":"1207","req":1}], "vencimiento":1, "precio":2700, "tipo":"cocina"},</v>
      </c>
    </row>
    <row r="719" customFormat="false" ht="13" hidden="false" customHeight="false" outlineLevel="0" collapsed="false">
      <c r="A719" s="17" t="n">
        <v>10</v>
      </c>
      <c r="B719" s="0" t="n">
        <f aca="false">IFERROR(__xludf.dummyfunction("""COMPUTED_VALUE"""),20004)</f>
        <v>20004</v>
      </c>
      <c r="C719" s="24" t="n">
        <f aca="false">IFERROR(__xludf.dummyfunction("""COMPUTED_VALUE"""),10)</f>
        <v>10</v>
      </c>
      <c r="D719" s="0" t="n">
        <f aca="false">IFERROR(__xludf.dummyfunction("""COMPUTED_VALUE"""),1)</f>
        <v>1</v>
      </c>
      <c r="E719" s="0" t="n">
        <f aca="false">IFERROR(__xludf.dummyfunction("""COMPUTED_VALUE"""),10)</f>
        <v>10</v>
      </c>
      <c r="F719" s="0" t="str">
        <f aca="false">IFERROR(__xludf.dummyfunction("filter(Formulas!$C:$C,Formulas!$A:$A=B719)"),"""formula"":[{""sku"":""1301"",""req"":1},{""sku"":""1216"",""req"":1},{""sku"":""1209"",""req"":1}]")</f>
        <v>"formula":[{"sku":"1301","req":1},{"sku":"1216","req":1},{"sku":"1209","req":1}]</v>
      </c>
      <c r="G719" s="0" t="n">
        <f aca="false">IFERROR(__xludf.dummyfunction("""COMPUTED_VALUE"""),1)</f>
        <v>1</v>
      </c>
      <c r="H719" s="21" t="str">
        <f aca="false">IFERROR(__xludf.dummyfunction("IF(D719,filter(Productos!AC:AC,Productos!A:A=B719),)"),"cocina")</f>
        <v>cocina</v>
      </c>
      <c r="I719" s="24" t="n">
        <f aca="false">IFERROR(__xludf.dummyfunction("""COMPUTED_VALUE"""),2700)</f>
        <v>2700</v>
      </c>
      <c r="K719" s="0" t="str">
        <f aca="false">IF(D719,"{""sku"":"""&amp;B719&amp;""", ""costo"":"&amp;C719&amp;", ""grupo"":"""&amp;A719&amp;""", ""lote"":"&amp;D719&amp;", ""tiempo"":"&amp;E719&amp;", "&amp;F719&amp;", ""vencimiento"":"&amp;G719&amp;IF(I719,", ""precio"":"&amp;I719,)&amp;", ""tipo"":"""&amp;H719&amp;"""},",)</f>
        <v>{"sku":"20004", "costo":10, "grupo":"10", "lote":1, "tiempo":10, "formula":[{"sku":"1301","req":1},{"sku":"1216","req":1},{"sku":"1209","req":1}], "vencimiento":1, "precio":2700, "tipo":"cocina"},</v>
      </c>
    </row>
    <row r="720" customFormat="false" ht="13" hidden="false" customHeight="false" outlineLevel="0" collapsed="false">
      <c r="A720" s="16" t="n">
        <v>10</v>
      </c>
      <c r="B720" s="0" t="n">
        <f aca="false">IFERROR(__xludf.dummyfunction("""COMPUTED_VALUE"""),20005)</f>
        <v>20005</v>
      </c>
      <c r="C720" s="24" t="n">
        <f aca="false">IFERROR(__xludf.dummyfunction("""COMPUTED_VALUE"""),10)</f>
        <v>10</v>
      </c>
      <c r="D720" s="0" t="n">
        <f aca="false">IFERROR(__xludf.dummyfunction("""COMPUTED_VALUE"""),1)</f>
        <v>1</v>
      </c>
      <c r="E720" s="0" t="n">
        <f aca="false">IFERROR(__xludf.dummyfunction("""COMPUTED_VALUE"""),20)</f>
        <v>20</v>
      </c>
      <c r="F720" s="0" t="str">
        <f aca="false">IFERROR(__xludf.dummyfunction("filter(Formulas!$C:$C,Formulas!$A:$A=B720)"),"""formula"":[{""sku"":""1301"",""req"":1},{""sku"":""1216"",""req"":1},{""sku"":""1209"",""req"":1},{""sku"":""1310"",""req"":1},{""sku"":""1112"",""req"":1}]")</f>
        <v>"formula":[{"sku":"1301","req":1},{"sku":"1216","req":1},{"sku":"1209","req":1},{"sku":"1310","req":1},{"sku":"1112","req":1}]</v>
      </c>
      <c r="G720" s="0" t="n">
        <f aca="false">IFERROR(__xludf.dummyfunction("""COMPUTED_VALUE"""),1)</f>
        <v>1</v>
      </c>
      <c r="H720" s="21" t="str">
        <f aca="false">IFERROR(__xludf.dummyfunction("IF(D720,filter(Productos!AC:AC,Productos!A:A=B720),)"),"cocina")</f>
        <v>cocina</v>
      </c>
      <c r="I720" s="24" t="n">
        <f aca="false">IFERROR(__xludf.dummyfunction("""COMPUTED_VALUE"""),2700)</f>
        <v>2700</v>
      </c>
      <c r="K720" s="0" t="str">
        <f aca="false">IF(D720,"{""sku"":"""&amp;B720&amp;""", ""costo"":"&amp;C720&amp;", ""grupo"":"""&amp;A720&amp;""", ""lote"":"&amp;D720&amp;", ""tiempo"":"&amp;E720&amp;", "&amp;F720&amp;", ""vencimiento"":"&amp;G720&amp;IF(I720,", ""precio"":"&amp;I720,)&amp;", ""tipo"":"""&amp;H720&amp;"""},",)</f>
        <v>{"sku":"20005", "costo":10, "grupo":"10", "lote":1, "tiempo":20, "formula":[{"sku":"1301","req":1},{"sku":"1216","req":1},{"sku":"1209","req":1},{"sku":"1310","req":1},{"sku":"1112","req":1}], "vencimiento":1, "precio":2700, "tipo":"cocina"},</v>
      </c>
    </row>
    <row r="721" customFormat="false" ht="13" hidden="false" customHeight="false" outlineLevel="0" collapsed="false">
      <c r="A721" s="17" t="n">
        <v>10</v>
      </c>
      <c r="B721" s="0" t="n">
        <f aca="false">IFERROR(__xludf.dummyfunction("""COMPUTED_VALUE"""),30001)</f>
        <v>30001</v>
      </c>
      <c r="C721" s="24" t="n">
        <f aca="false">IFERROR(__xludf.dummyfunction("""COMPUTED_VALUE"""),10)</f>
        <v>10</v>
      </c>
      <c r="D721" s="0" t="n">
        <f aca="false">IFERROR(__xludf.dummyfunction("""COMPUTED_VALUE"""),1)</f>
        <v>1</v>
      </c>
      <c r="E721" s="0" t="n">
        <f aca="false">IFERROR(__xludf.dummyfunction("""COMPUTED_VALUE"""),10)</f>
        <v>10</v>
      </c>
      <c r="F721" s="0" t="str">
        <f aca="false">IFERROR(__xludf.dummyfunction("filter(Formulas!$C:$C,Formulas!$A:$A=B721)"),"""formula"":[{""sku"":""1307"",""req"":3}]")</f>
        <v>"formula":[{"sku":"1307","req":3}]</v>
      </c>
      <c r="G721" s="0" t="n">
        <f aca="false">IFERROR(__xludf.dummyfunction("""COMPUTED_VALUE"""),1)</f>
        <v>1</v>
      </c>
      <c r="H721" s="21" t="str">
        <f aca="false">IFERROR(__xludf.dummyfunction("IF(D721,filter(Productos!AC:AC,Productos!A:A=B721),)"),"cocina")</f>
        <v>cocina</v>
      </c>
      <c r="I721" s="24" t="n">
        <f aca="false">IFERROR(__xludf.dummyfunction("""COMPUTED_VALUE"""),7900)</f>
        <v>7900</v>
      </c>
      <c r="K721" s="0" t="str">
        <f aca="false">IF(D721,"{""sku"":"""&amp;B721&amp;""", ""costo"":"&amp;C721&amp;", ""grupo"":"""&amp;A721&amp;""", ""lote"":"&amp;D721&amp;", ""tiempo"":"&amp;E721&amp;", "&amp;F721&amp;", ""vencimiento"":"&amp;G721&amp;IF(I721,", ""precio"":"&amp;I721,)&amp;", ""tipo"":"""&amp;H721&amp;"""},",)</f>
        <v>{"sku":"30001", "costo":10, "grupo":"10", "lote":1, "tiempo":10, "formula":[{"sku":"1307","req":3}], "vencimiento":1, "precio":7900, "tipo":"cocina"},</v>
      </c>
    </row>
    <row r="722" customFormat="false" ht="13" hidden="false" customHeight="false" outlineLevel="0" collapsed="false">
      <c r="A722" s="16" t="n">
        <v>10</v>
      </c>
      <c r="B722" s="0" t="n">
        <f aca="false">IFERROR(__xludf.dummyfunction("""COMPUTED_VALUE"""),30002)</f>
        <v>30002</v>
      </c>
      <c r="C722" s="24" t="n">
        <f aca="false">IFERROR(__xludf.dummyfunction("""COMPUTED_VALUE"""),10)</f>
        <v>10</v>
      </c>
      <c r="D722" s="0" t="n">
        <f aca="false">IFERROR(__xludf.dummyfunction("""COMPUTED_VALUE"""),1)</f>
        <v>1</v>
      </c>
      <c r="E722" s="0" t="n">
        <f aca="false">IFERROR(__xludf.dummyfunction("""COMPUTED_VALUE"""),10)</f>
        <v>10</v>
      </c>
      <c r="F722" s="0" t="str">
        <f aca="false">IFERROR(__xludf.dummyfunction("filter(Formulas!$C:$C,Formulas!$A:$A=B722)"),"""formula"":[{""sku"":""1307"",""req"":4}]")</f>
        <v>"formula":[{"sku":"1307","req":4}]</v>
      </c>
      <c r="G722" s="0" t="n">
        <f aca="false">IFERROR(__xludf.dummyfunction("""COMPUTED_VALUE"""),1)</f>
        <v>1</v>
      </c>
      <c r="H722" s="21" t="str">
        <f aca="false">IFERROR(__xludf.dummyfunction("IF(D722,filter(Productos!AC:AC,Productos!A:A=B722),)"),"cocina")</f>
        <v>cocina</v>
      </c>
      <c r="I722" s="24" t="n">
        <f aca="false">IFERROR(__xludf.dummyfunction("""COMPUTED_VALUE"""),9900)</f>
        <v>9900</v>
      </c>
      <c r="K722" s="0" t="str">
        <f aca="false">IF(D722,"{""sku"":"""&amp;B722&amp;""", ""costo"":"&amp;C722&amp;", ""grupo"":"""&amp;A722&amp;""", ""lote"":"&amp;D722&amp;", ""tiempo"":"&amp;E722&amp;", "&amp;F722&amp;", ""vencimiento"":"&amp;G722&amp;IF(I722,", ""precio"":"&amp;I722,)&amp;", ""tipo"":"""&amp;H722&amp;"""},",)</f>
        <v>{"sku":"30002", "costo":10, "grupo":"10", "lote":1, "tiempo":10, "formula":[{"sku":"1307","req":4}], "vencimiento":1, "precio":9900, "tipo":"cocina"},</v>
      </c>
    </row>
    <row r="723" customFormat="false" ht="13" hidden="false" customHeight="false" outlineLevel="0" collapsed="false">
      <c r="A723" s="17" t="n">
        <v>10</v>
      </c>
      <c r="B723" s="0" t="n">
        <f aca="false">IFERROR(__xludf.dummyfunction("""COMPUTED_VALUE"""),30003)</f>
        <v>30003</v>
      </c>
      <c r="C723" s="24" t="n">
        <f aca="false">IFERROR(__xludf.dummyfunction("""COMPUTED_VALUE"""),10)</f>
        <v>10</v>
      </c>
      <c r="D723" s="0" t="n">
        <f aca="false">IFERROR(__xludf.dummyfunction("""COMPUTED_VALUE"""),1)</f>
        <v>1</v>
      </c>
      <c r="E723" s="0" t="n">
        <f aca="false">IFERROR(__xludf.dummyfunction("""COMPUTED_VALUE"""),10)</f>
        <v>10</v>
      </c>
      <c r="F723" s="0" t="str">
        <f aca="false">IFERROR(__xludf.dummyfunction("filter(Formulas!$C:$C,Formulas!$A:$A=B723)"),"""formula"":[{""sku"":""1307"",""req"":5}]")</f>
        <v>"formula":[{"sku":"1307","req":5}]</v>
      </c>
      <c r="G723" s="0" t="n">
        <f aca="false">IFERROR(__xludf.dummyfunction("""COMPUTED_VALUE"""),1)</f>
        <v>1</v>
      </c>
      <c r="H723" s="21" t="str">
        <f aca="false">IFERROR(__xludf.dummyfunction("IF(D723,filter(Productos!AC:AC,Productos!A:A=B723),)"),"cocina")</f>
        <v>cocina</v>
      </c>
      <c r="I723" s="24" t="n">
        <f aca="false">IFERROR(__xludf.dummyfunction("""COMPUTED_VALUE"""),12500)</f>
        <v>12500</v>
      </c>
      <c r="K723" s="0" t="str">
        <f aca="false">IF(D723,"{""sku"":"""&amp;B723&amp;""", ""costo"":"&amp;C723&amp;", ""grupo"":"""&amp;A723&amp;""", ""lote"":"&amp;D723&amp;", ""tiempo"":"&amp;E723&amp;", "&amp;F723&amp;", ""vencimiento"":"&amp;G723&amp;IF(I723,", ""precio"":"&amp;I723,)&amp;", ""tipo"":"""&amp;H723&amp;"""},",)</f>
        <v>{"sku":"30003", "costo":10, "grupo":"10", "lote":1, "tiempo":10, "formula":[{"sku":"1307","req":5}], "vencimiento":1, "precio":12500, "tipo":"cocina"},</v>
      </c>
    </row>
    <row r="724" customFormat="false" ht="13" hidden="false" customHeight="false" outlineLevel="0" collapsed="false">
      <c r="A724" s="16" t="n">
        <v>10</v>
      </c>
      <c r="B724" s="0" t="n">
        <f aca="false">IFERROR(__xludf.dummyfunction("""COMPUTED_VALUE"""),30004)</f>
        <v>30004</v>
      </c>
      <c r="C724" s="24" t="n">
        <f aca="false">IFERROR(__xludf.dummyfunction("""COMPUTED_VALUE"""),10)</f>
        <v>10</v>
      </c>
      <c r="D724" s="0" t="n">
        <f aca="false">IFERROR(__xludf.dummyfunction("""COMPUTED_VALUE"""),1)</f>
        <v>1</v>
      </c>
      <c r="E724" s="0" t="n">
        <f aca="false">IFERROR(__xludf.dummyfunction("""COMPUTED_VALUE"""),10)</f>
        <v>10</v>
      </c>
      <c r="F724" s="0" t="str">
        <f aca="false">IFERROR(__xludf.dummyfunction("filter(Formulas!$C:$C,Formulas!$A:$A=B724)"),"""formula"":[{""sku"":""1309"",""req"":3}]")</f>
        <v>"formula":[{"sku":"1309","req":3}]</v>
      </c>
      <c r="G724" s="0" t="n">
        <f aca="false">IFERROR(__xludf.dummyfunction("""COMPUTED_VALUE"""),1)</f>
        <v>1</v>
      </c>
      <c r="H724" s="21" t="str">
        <f aca="false">IFERROR(__xludf.dummyfunction("IF(D724,filter(Productos!AC:AC,Productos!A:A=B724),)"),"cocina")</f>
        <v>cocina</v>
      </c>
      <c r="I724" s="24" t="n">
        <f aca="false">IFERROR(__xludf.dummyfunction("""COMPUTED_VALUE"""),7900)</f>
        <v>7900</v>
      </c>
      <c r="K724" s="0" t="str">
        <f aca="false">IF(D724,"{""sku"":"""&amp;B724&amp;""", ""costo"":"&amp;C724&amp;", ""grupo"":"""&amp;A724&amp;""", ""lote"":"&amp;D724&amp;", ""tiempo"":"&amp;E724&amp;", "&amp;F724&amp;", ""vencimiento"":"&amp;G724&amp;IF(I724,", ""precio"":"&amp;I724,)&amp;", ""tipo"":"""&amp;H724&amp;"""},",)</f>
        <v>{"sku":"30004", "costo":10, "grupo":"10", "lote":1, "tiempo":10, "formula":[{"sku":"1309","req":3}], "vencimiento":1, "precio":7900, "tipo":"cocina"},</v>
      </c>
    </row>
    <row r="725" customFormat="false" ht="13" hidden="false" customHeight="false" outlineLevel="0" collapsed="false">
      <c r="A725" s="17" t="n">
        <v>10</v>
      </c>
      <c r="B725" s="0" t="n">
        <f aca="false">IFERROR(__xludf.dummyfunction("""COMPUTED_VALUE"""),30005)</f>
        <v>30005</v>
      </c>
      <c r="C725" s="24" t="n">
        <f aca="false">IFERROR(__xludf.dummyfunction("""COMPUTED_VALUE"""),10)</f>
        <v>10</v>
      </c>
      <c r="D725" s="0" t="n">
        <f aca="false">IFERROR(__xludf.dummyfunction("""COMPUTED_VALUE"""),1)</f>
        <v>1</v>
      </c>
      <c r="E725" s="0" t="n">
        <f aca="false">IFERROR(__xludf.dummyfunction("""COMPUTED_VALUE"""),10)</f>
        <v>10</v>
      </c>
      <c r="F725" s="0" t="str">
        <f aca="false">IFERROR(__xludf.dummyfunction("filter(Formulas!$C:$C,Formulas!$A:$A=B725)"),"""formula"":[{""sku"":""1309"",""req"":4}]")</f>
        <v>"formula":[{"sku":"1309","req":4}]</v>
      </c>
      <c r="G725" s="0" t="n">
        <f aca="false">IFERROR(__xludf.dummyfunction("""COMPUTED_VALUE"""),1)</f>
        <v>1</v>
      </c>
      <c r="H725" s="21" t="str">
        <f aca="false">IFERROR(__xludf.dummyfunction("IF(D725,filter(Productos!AC:AC,Productos!A:A=B725),)"),"cocina")</f>
        <v>cocina</v>
      </c>
      <c r="I725" s="24" t="n">
        <f aca="false">IFERROR(__xludf.dummyfunction("""COMPUTED_VALUE"""),9900)</f>
        <v>9900</v>
      </c>
      <c r="K725" s="0" t="str">
        <f aca="false">IF(D725,"{""sku"":"""&amp;B725&amp;""", ""costo"":"&amp;C725&amp;", ""grupo"":"""&amp;A725&amp;""", ""lote"":"&amp;D725&amp;", ""tiempo"":"&amp;E725&amp;", "&amp;F725&amp;", ""vencimiento"":"&amp;G725&amp;IF(I725,", ""precio"":"&amp;I725,)&amp;", ""tipo"":"""&amp;H725&amp;"""},",)</f>
        <v>{"sku":"30005", "costo":10, "grupo":"10", "lote":1, "tiempo":10, "formula":[{"sku":"1309","req":4}], "vencimiento":1, "precio":9900, "tipo":"cocina"},</v>
      </c>
    </row>
    <row r="726" customFormat="false" ht="13" hidden="false" customHeight="false" outlineLevel="0" collapsed="false">
      <c r="A726" s="16" t="n">
        <v>10</v>
      </c>
      <c r="B726" s="0" t="n">
        <f aca="false">IFERROR(__xludf.dummyfunction("""COMPUTED_VALUE"""),30006)</f>
        <v>30006</v>
      </c>
      <c r="C726" s="24" t="n">
        <f aca="false">IFERROR(__xludf.dummyfunction("""COMPUTED_VALUE"""),10)</f>
        <v>10</v>
      </c>
      <c r="D726" s="0" t="n">
        <f aca="false">IFERROR(__xludf.dummyfunction("""COMPUTED_VALUE"""),1)</f>
        <v>1</v>
      </c>
      <c r="E726" s="0" t="n">
        <f aca="false">IFERROR(__xludf.dummyfunction("""COMPUTED_VALUE"""),10)</f>
        <v>10</v>
      </c>
      <c r="F726" s="0" t="str">
        <f aca="false">IFERROR(__xludf.dummyfunction("filter(Formulas!$C:$C,Formulas!$A:$A=B726)"),"""formula"":[{""sku"":""1309"",""req"":5}]")</f>
        <v>"formula":[{"sku":"1309","req":5}]</v>
      </c>
      <c r="G726" s="0" t="n">
        <f aca="false">IFERROR(__xludf.dummyfunction("""COMPUTED_VALUE"""),1)</f>
        <v>1</v>
      </c>
      <c r="H726" s="21" t="str">
        <f aca="false">IFERROR(__xludf.dummyfunction("IF(D726,filter(Productos!AC:AC,Productos!A:A=B726),)"),"cocina")</f>
        <v>cocina</v>
      </c>
      <c r="I726" s="24" t="n">
        <f aca="false">IFERROR(__xludf.dummyfunction("""COMPUTED_VALUE"""),12500)</f>
        <v>12500</v>
      </c>
      <c r="K726" s="0" t="str">
        <f aca="false">IF(D726,"{""sku"":"""&amp;B726&amp;""", ""costo"":"&amp;C726&amp;", ""grupo"":"""&amp;A726&amp;""", ""lote"":"&amp;D726&amp;", ""tiempo"":"&amp;E726&amp;", "&amp;F726&amp;", ""vencimiento"":"&amp;G726&amp;IF(I726,", ""precio"":"&amp;I726,)&amp;", ""tipo"":"""&amp;H726&amp;"""},",)</f>
        <v>{"sku":"30006", "costo":10, "grupo":"10", "lote":1, "tiempo":10, "formula":[{"sku":"1309","req":5}], "vencimiento":1, "precio":12500, "tipo":"cocina"},</v>
      </c>
    </row>
    <row r="727" customFormat="false" ht="13" hidden="false" customHeight="false" outlineLevel="0" collapsed="false">
      <c r="A727" s="17" t="n">
        <v>10</v>
      </c>
      <c r="B727" s="0" t="n">
        <f aca="false">IFERROR(__xludf.dummyfunction("""COMPUTED_VALUE"""),30007)</f>
        <v>30007</v>
      </c>
      <c r="C727" s="24" t="n">
        <f aca="false">IFERROR(__xludf.dummyfunction("""COMPUTED_VALUE"""),10)</f>
        <v>10</v>
      </c>
      <c r="D727" s="0" t="n">
        <f aca="false">IFERROR(__xludf.dummyfunction("""COMPUTED_VALUE"""),1)</f>
        <v>1</v>
      </c>
      <c r="E727" s="0" t="n">
        <f aca="false">IFERROR(__xludf.dummyfunction("""COMPUTED_VALUE"""),10)</f>
        <v>10</v>
      </c>
      <c r="F727" s="0" t="str">
        <f aca="false">IFERROR(__xludf.dummyfunction("filter(Formulas!$C:$C,Formulas!$A:$A=B727)"),"""formula"":[{""sku"":""1309"",""req"":2},{""sku"":""1307"",""req"":2}]")</f>
        <v>"formula":[{"sku":"1309","req":2},{"sku":"1307","req":2}]</v>
      </c>
      <c r="G727" s="0" t="n">
        <f aca="false">IFERROR(__xludf.dummyfunction("""COMPUTED_VALUE"""),1)</f>
        <v>1</v>
      </c>
      <c r="H727" s="21" t="str">
        <f aca="false">IFERROR(__xludf.dummyfunction("IF(D727,filter(Productos!AC:AC,Productos!A:A=B727),)"),"cocina")</f>
        <v>cocina</v>
      </c>
      <c r="I727" s="24" t="n">
        <f aca="false">IFERROR(__xludf.dummyfunction("""COMPUTED_VALUE"""),9900)</f>
        <v>9900</v>
      </c>
      <c r="K727" s="0" t="str">
        <f aca="false">IF(D727,"{""sku"":"""&amp;B727&amp;""", ""costo"":"&amp;C727&amp;", ""grupo"":"""&amp;A727&amp;""", ""lote"":"&amp;D727&amp;", ""tiempo"":"&amp;E727&amp;", "&amp;F727&amp;", ""vencimiento"":"&amp;G727&amp;IF(I727,", ""precio"":"&amp;I727,)&amp;", ""tipo"":"""&amp;H727&amp;"""},",)</f>
        <v>{"sku":"30007", "costo":10, "grupo":"10", "lote":1, "tiempo":10, "formula":[{"sku":"1309","req":2},{"sku":"1307","req":2}], "vencimiento":1, "precio":9900, "tipo":"cocina"},</v>
      </c>
    </row>
    <row r="728" customFormat="false" ht="13" hidden="false" customHeight="false" outlineLevel="0" collapsed="false">
      <c r="A728" s="16" t="n">
        <v>10</v>
      </c>
      <c r="B728" s="0" t="n">
        <f aca="false">IFERROR(__xludf.dummyfunction("""COMPUTED_VALUE"""),30008)</f>
        <v>30008</v>
      </c>
      <c r="C728" s="24" t="n">
        <f aca="false">IFERROR(__xludf.dummyfunction("""COMPUTED_VALUE"""),10)</f>
        <v>10</v>
      </c>
      <c r="D728" s="0" t="n">
        <f aca="false">IFERROR(__xludf.dummyfunction("""COMPUTED_VALUE"""),1)</f>
        <v>1</v>
      </c>
      <c r="E728" s="0" t="n">
        <f aca="false">IFERROR(__xludf.dummyfunction("""COMPUTED_VALUE"""),10)</f>
        <v>10</v>
      </c>
      <c r="F728" s="0" t="str">
        <f aca="false">IFERROR(__xludf.dummyfunction("filter(Formulas!$C:$C,Formulas!$A:$A=B728)"),"""formula"":[{""sku"":""1309"",""req"":3},{""sku"":""1307"",""req"":3}]")</f>
        <v>"formula":[{"sku":"1309","req":3},{"sku":"1307","req":3}]</v>
      </c>
      <c r="G728" s="0" t="n">
        <f aca="false">IFERROR(__xludf.dummyfunction("""COMPUTED_VALUE"""),1)</f>
        <v>1</v>
      </c>
      <c r="H728" s="21" t="str">
        <f aca="false">IFERROR(__xludf.dummyfunction("IF(D728,filter(Productos!AC:AC,Productos!A:A=B728),)"),"cocina")</f>
        <v>cocina</v>
      </c>
      <c r="I728" s="24" t="n">
        <f aca="false">IFERROR(__xludf.dummyfunction("""COMPUTED_VALUE"""),15990)</f>
        <v>15990</v>
      </c>
      <c r="K728" s="0" t="str">
        <f aca="false">IF(D728,"{""sku"":"""&amp;B728&amp;""", ""costo"":"&amp;C728&amp;", ""grupo"":"""&amp;A728&amp;""", ""lote"":"&amp;D728&amp;", ""tiempo"":"&amp;E728&amp;", "&amp;F728&amp;", ""vencimiento"":"&amp;G728&amp;IF(I728,", ""precio"":"&amp;I728,)&amp;", ""tipo"":"""&amp;H728&amp;"""},",)</f>
        <v>{"sku":"30008", "costo":10, "grupo":"10", "lote":1, "tiempo":10, "formula":[{"sku":"1309","req":3},{"sku":"1307","req":3}], "vencimiento":1, "precio":15990, "tipo":"cocina"},</v>
      </c>
    </row>
    <row r="729" customFormat="false" ht="13" hidden="false" customHeight="false" outlineLevel="0" collapsed="false">
      <c r="H729" s="21" t="str">
        <f aca="false">IFERROR(__xludf.dummyfunction("IF(D729,filter(Productos!AC:AC,Productos!A:A=B729),)"),"")</f>
        <v/>
      </c>
      <c r="K729" s="0" t="n">
        <f aca="false">IF(D729,"{""sku"":"""&amp;B729&amp;""", ""costo"":"&amp;C729&amp;", ""grupo"":"""&amp;A729&amp;""", ""lote"":"&amp;D729&amp;", ""tiempo"":"&amp;E729&amp;", "&amp;F729&amp;", ""vencimiento"":"&amp;G729&amp;IF(I729,", ""precio"":"&amp;I729,)&amp;", ""tipo"":"""&amp;H729&amp;"""},",)</f>
        <v>0</v>
      </c>
    </row>
    <row r="730" customFormat="false" ht="13" hidden="false" customHeight="false" outlineLevel="0" collapsed="false">
      <c r="A730" s="22" t="s">
        <v>258</v>
      </c>
      <c r="B730" s="16" t="s">
        <v>259</v>
      </c>
      <c r="C730" s="16"/>
      <c r="D730" s="16"/>
      <c r="E730" s="16"/>
      <c r="F730" s="16"/>
      <c r="G730" s="25"/>
      <c r="H730" s="21" t="str">
        <f aca="false">IFERROR(__xludf.dummyfunction("IF(D730,filter(Productos!AC:AC,Productos!A:A=B730),)"),"")</f>
        <v/>
      </c>
      <c r="K730" s="0" t="n">
        <f aca="false">IF(D730,"{""sku"":"""&amp;B730&amp;""", ""costo"":"&amp;C730&amp;", ""grupo"":"""&amp;A730&amp;""", ""lote"":"&amp;D730&amp;", ""tiempo"":"&amp;E730&amp;", "&amp;F730&amp;", ""vencimiento"":"&amp;G730&amp;IF(I730,", ""precio"":"&amp;I730,)&amp;", ""tipo"":"""&amp;H730&amp;"""},",)</f>
        <v>0</v>
      </c>
    </row>
    <row r="731" customFormat="false" ht="13" hidden="false" customHeight="false" outlineLevel="0" collapsed="false">
      <c r="A731" s="17" t="n">
        <v>11</v>
      </c>
      <c r="B731" s="17" t="n">
        <f aca="false">IFERROR(__xludf.dummyfunction("filter(Productos!$A$2:$A1017,INDIRECT(B730))"),1001)</f>
        <v>1001</v>
      </c>
      <c r="C731" s="24" t="n">
        <f aca="false">IFERROR(__xludf.dummyfunction("filter(Productos!$D$2:$D1017,INDIRECT(B730))"),3000)</f>
        <v>3000</v>
      </c>
      <c r="D731" s="17" t="n">
        <f aca="false">IFERROR(__xludf.dummyfunction("filter(Productos!$K$2:$L1017,INDIRECT(B730))"),10)</f>
        <v>10</v>
      </c>
      <c r="E731" s="17" t="n">
        <f aca="false">IFERROR(__xludf.dummyfunction("""COMPUTED_VALUE"""),240)</f>
        <v>240</v>
      </c>
      <c r="F731" s="16" t="str">
        <f aca="false">IFERROR(__xludf.dummyfunction("filter(Formulas!$C:$C,Formulas!$A:$A=B731)"),"""formula"":null")</f>
        <v>"formula":null</v>
      </c>
      <c r="G731" s="26" t="n">
        <f aca="false">IFERROR(__xludf.dummyfunction("filter(Productos!$H$2:$H1017,INDIRECT(B730))"),720)</f>
        <v>720</v>
      </c>
      <c r="H731" s="21" t="str">
        <f aca="false">IFERROR(__xludf.dummyfunction("IF(D731,filter(Productos!AC:AC,Productos!A:A=B731),)"),"fabrica")</f>
        <v>fabrica</v>
      </c>
      <c r="I731" s="24" t="str">
        <f aca="false">IFERROR(__xludf.dummyfunction("filter(Productos!$E$2:$E1017,INDIRECT(B730))"),"")</f>
        <v/>
      </c>
      <c r="K731" s="0" t="e">
        <f aca="false">IF(D731,"{""sku"":"""&amp;B731&amp;""", ""costo"":"&amp;C731&amp;", ""grupo"":"""&amp;A731&amp;""", ""lote"":"&amp;D731&amp;", ""tiempo"":"&amp;E731&amp;", "&amp;F731&amp;", ""vencimiento"":"&amp;G731&amp;IF(I731,", ""precio"":"&amp;I731,)&amp;", ""tipo"":"""&amp;H731&amp;"""},",)</f>
        <v>#VALUE!</v>
      </c>
    </row>
    <row r="732" customFormat="false" ht="13" hidden="false" customHeight="false" outlineLevel="0" collapsed="false">
      <c r="A732" s="16" t="n">
        <v>11</v>
      </c>
      <c r="B732" s="0" t="n">
        <f aca="false">IFERROR(__xludf.dummyfunction("""COMPUTED_VALUE"""),1003)</f>
        <v>1003</v>
      </c>
      <c r="C732" s="24" t="n">
        <f aca="false">IFERROR(__xludf.dummyfunction("""COMPUTED_VALUE"""),1290)</f>
        <v>1290</v>
      </c>
      <c r="D732" s="0" t="n">
        <f aca="false">IFERROR(__xludf.dummyfunction("""COMPUTED_VALUE"""),100)</f>
        <v>100</v>
      </c>
      <c r="E732" s="0" t="n">
        <f aca="false">IFERROR(__xludf.dummyfunction("""COMPUTED_VALUE"""),320)</f>
        <v>320</v>
      </c>
      <c r="F732" s="0" t="str">
        <f aca="false">IFERROR(__xludf.dummyfunction("filter(Formulas!$C:$C,Formulas!$A:$A=B732)"),"""formula"":null")</f>
        <v>"formula":null</v>
      </c>
      <c r="G732" s="0" t="n">
        <f aca="false">IFERROR(__xludf.dummyfunction("""COMPUTED_VALUE"""),720)</f>
        <v>720</v>
      </c>
      <c r="H732" s="21" t="str">
        <f aca="false">IFERROR(__xludf.dummyfunction("IF(D732,filter(Productos!AC:AC,Productos!A:A=B732),)"),"fabrica")</f>
        <v>fabrica</v>
      </c>
      <c r="I732" s="24" t="str">
        <f aca="false">IFERROR(__xludf.dummyfunction("""COMPUTED_VALUE"""),"")</f>
        <v/>
      </c>
      <c r="K732" s="0" t="e">
        <f aca="false">IF(D732,"{""sku"":"""&amp;B732&amp;""", ""costo"":"&amp;C732&amp;", ""grupo"":"""&amp;A732&amp;""", ""lote"":"&amp;D732&amp;", ""tiempo"":"&amp;E732&amp;", "&amp;F732&amp;", ""vencimiento"":"&amp;G732&amp;IF(I732,", ""precio"":"&amp;I732,)&amp;", ""tipo"":"""&amp;H732&amp;"""},",)</f>
        <v>#VALUE!</v>
      </c>
    </row>
    <row r="733" customFormat="false" ht="13" hidden="false" customHeight="false" outlineLevel="0" collapsed="false">
      <c r="A733" s="17" t="n">
        <v>11</v>
      </c>
      <c r="B733" s="0" t="n">
        <f aca="false">IFERROR(__xludf.dummyfunction("""COMPUTED_VALUE"""),1007)</f>
        <v>1007</v>
      </c>
      <c r="C733" s="24" t="n">
        <f aca="false">IFERROR(__xludf.dummyfunction("""COMPUTED_VALUE"""),32990)</f>
        <v>32990</v>
      </c>
      <c r="D733" s="0" t="n">
        <f aca="false">IFERROR(__xludf.dummyfunction("""COMPUTED_VALUE"""),8)</f>
        <v>8</v>
      </c>
      <c r="E733" s="0" t="n">
        <f aca="false">IFERROR(__xludf.dummyfunction("""COMPUTED_VALUE"""),300)</f>
        <v>300</v>
      </c>
      <c r="F733" s="0" t="str">
        <f aca="false">IFERROR(__xludf.dummyfunction("filter(Formulas!$C:$C,Formulas!$A:$A=B733)"),"""formula"":null")</f>
        <v>"formula":null</v>
      </c>
      <c r="G733" s="0" t="n">
        <f aca="false">IFERROR(__xludf.dummyfunction("""COMPUTED_VALUE"""),20)</f>
        <v>20</v>
      </c>
      <c r="H733" s="21" t="str">
        <f aca="false">IFERROR(__xludf.dummyfunction("IF(D733,filter(Productos!AC:AC,Productos!A:A=B733),)"),"fabrica")</f>
        <v>fabrica</v>
      </c>
      <c r="I733" s="24" t="str">
        <f aca="false">IFERROR(__xludf.dummyfunction("""COMPUTED_VALUE"""),"")</f>
        <v/>
      </c>
      <c r="K733" s="0" t="e">
        <f aca="false">IF(D733,"{""sku"":"""&amp;B733&amp;""", ""costo"":"&amp;C733&amp;", ""grupo"":"""&amp;A733&amp;""", ""lote"":"&amp;D733&amp;", ""tiempo"":"&amp;E733&amp;", "&amp;F733&amp;", ""vencimiento"":"&amp;G733&amp;IF(I733,", ""precio"":"&amp;I733,)&amp;", ""tipo"":"""&amp;H733&amp;"""},",)</f>
        <v>#VALUE!</v>
      </c>
    </row>
    <row r="734" customFormat="false" ht="13" hidden="false" customHeight="false" outlineLevel="0" collapsed="false">
      <c r="A734" s="16" t="n">
        <v>11</v>
      </c>
      <c r="B734" s="0" t="n">
        <f aca="false">IFERROR(__xludf.dummyfunction("""COMPUTED_VALUE"""),1011)</f>
        <v>1011</v>
      </c>
      <c r="C734" s="24" t="n">
        <f aca="false">IFERROR(__xludf.dummyfunction("""COMPUTED_VALUE"""),990)</f>
        <v>990</v>
      </c>
      <c r="D734" s="0" t="n">
        <f aca="false">IFERROR(__xludf.dummyfunction("""COMPUTED_VALUE"""),4)</f>
        <v>4</v>
      </c>
      <c r="E734" s="0" t="n">
        <f aca="false">IFERROR(__xludf.dummyfunction("""COMPUTED_VALUE"""),120)</f>
        <v>120</v>
      </c>
      <c r="F734" s="0" t="str">
        <f aca="false">IFERROR(__xludf.dummyfunction("filter(Formulas!$C:$C,Formulas!$A:$A=B734)"),"""formula"":null")</f>
        <v>"formula":null</v>
      </c>
      <c r="G734" s="0" t="n">
        <f aca="false">IFERROR(__xludf.dummyfunction("""COMPUTED_VALUE"""),168)</f>
        <v>168</v>
      </c>
      <c r="H734" s="21" t="str">
        <f aca="false">IFERROR(__xludf.dummyfunction("IF(D734,filter(Productos!AC:AC,Productos!A:A=B734),)"),"fabrica")</f>
        <v>fabrica</v>
      </c>
      <c r="I734" s="24" t="str">
        <f aca="false">IFERROR(__xludf.dummyfunction("""COMPUTED_VALUE"""),"")</f>
        <v/>
      </c>
      <c r="K734" s="0" t="e">
        <f aca="false">IF(D734,"{""sku"":"""&amp;B734&amp;""", ""costo"":"&amp;C734&amp;", ""grupo"":"""&amp;A734&amp;""", ""lote"":"&amp;D734&amp;", ""tiempo"":"&amp;E734&amp;", "&amp;F734&amp;", ""vencimiento"":"&amp;G734&amp;IF(I734,", ""precio"":"&amp;I734,)&amp;", ""tipo"":"""&amp;H734&amp;"""},",)</f>
        <v>#VALUE!</v>
      </c>
    </row>
    <row r="735" customFormat="false" ht="13" hidden="false" customHeight="false" outlineLevel="0" collapsed="false">
      <c r="A735" s="17" t="n">
        <v>11</v>
      </c>
      <c r="B735" s="0" t="n">
        <f aca="false">IFERROR(__xludf.dummyfunction("""COMPUTED_VALUE"""),1012)</f>
        <v>1012</v>
      </c>
      <c r="C735" s="24" t="n">
        <f aca="false">IFERROR(__xludf.dummyfunction("""COMPUTED_VALUE"""),9990)</f>
        <v>9990</v>
      </c>
      <c r="D735" s="0" t="n">
        <f aca="false">IFERROR(__xludf.dummyfunction("""COMPUTED_VALUE"""),7)</f>
        <v>7</v>
      </c>
      <c r="E735" s="0" t="n">
        <f aca="false">IFERROR(__xludf.dummyfunction("""COMPUTED_VALUE"""),150)</f>
        <v>150</v>
      </c>
      <c r="F735" s="0" t="str">
        <f aca="false">IFERROR(__xludf.dummyfunction("filter(Formulas!$C:$C,Formulas!$A:$A=B735)"),"""formula"":null")</f>
        <v>"formula":null</v>
      </c>
      <c r="G735" s="0" t="n">
        <f aca="false">IFERROR(__xludf.dummyfunction("""COMPUTED_VALUE"""),72)</f>
        <v>72</v>
      </c>
      <c r="H735" s="21" t="str">
        <f aca="false">IFERROR(__xludf.dummyfunction("IF(D735,filter(Productos!AC:AC,Productos!A:A=B735),)"),"fabrica")</f>
        <v>fabrica</v>
      </c>
      <c r="I735" s="24" t="str">
        <f aca="false">IFERROR(__xludf.dummyfunction("""COMPUTED_VALUE"""),"")</f>
        <v/>
      </c>
      <c r="K735" s="0" t="e">
        <f aca="false">IF(D735,"{""sku"":"""&amp;B735&amp;""", ""costo"":"&amp;C735&amp;", ""grupo"":"""&amp;A735&amp;""", ""lote"":"&amp;D735&amp;", ""tiempo"":"&amp;E735&amp;", "&amp;F735&amp;", ""vencimiento"":"&amp;G735&amp;IF(I735,", ""precio"":"&amp;I735,)&amp;", ""tipo"":"""&amp;H735&amp;"""},",)</f>
        <v>#VALUE!</v>
      </c>
    </row>
    <row r="736" customFormat="false" ht="13" hidden="false" customHeight="false" outlineLevel="0" collapsed="false">
      <c r="A736" s="16" t="n">
        <v>11</v>
      </c>
      <c r="B736" s="0" t="n">
        <f aca="false">IFERROR(__xludf.dummyfunction("""COMPUTED_VALUE"""),1013)</f>
        <v>1013</v>
      </c>
      <c r="C736" s="24" t="n">
        <f aca="false">IFERROR(__xludf.dummyfunction("""COMPUTED_VALUE"""),1400)</f>
        <v>1400</v>
      </c>
      <c r="D736" s="0" t="n">
        <f aca="false">IFERROR(__xludf.dummyfunction("""COMPUTED_VALUE"""),10)</f>
        <v>10</v>
      </c>
      <c r="E736" s="0" t="n">
        <f aca="false">IFERROR(__xludf.dummyfunction("""COMPUTED_VALUE"""),320)</f>
        <v>320</v>
      </c>
      <c r="F736" s="0" t="str">
        <f aca="false">IFERROR(__xludf.dummyfunction("filter(Formulas!$C:$C,Formulas!$A:$A=B736)"),"""formula"":null")</f>
        <v>"formula":null</v>
      </c>
      <c r="G736" s="0" t="n">
        <f aca="false">IFERROR(__xludf.dummyfunction("""COMPUTED_VALUE"""),12)</f>
        <v>12</v>
      </c>
      <c r="H736" s="21" t="str">
        <f aca="false">IFERROR(__xludf.dummyfunction("IF(D736,filter(Productos!AC:AC,Productos!A:A=B736),)"),"fabrica")</f>
        <v>fabrica</v>
      </c>
      <c r="I736" s="24" t="str">
        <f aca="false">IFERROR(__xludf.dummyfunction("""COMPUTED_VALUE"""),"")</f>
        <v/>
      </c>
      <c r="K736" s="0" t="e">
        <f aca="false">IF(D736,"{""sku"":"""&amp;B736&amp;""", ""costo"":"&amp;C736&amp;", ""grupo"":"""&amp;A736&amp;""", ""lote"":"&amp;D736&amp;", ""tiempo"":"&amp;E736&amp;", "&amp;F736&amp;", ""vencimiento"":"&amp;G736&amp;IF(I736,", ""precio"":"&amp;I736,)&amp;", ""tipo"":"""&amp;H736&amp;"""},",)</f>
        <v>#VALUE!</v>
      </c>
    </row>
    <row r="737" customFormat="false" ht="13" hidden="false" customHeight="false" outlineLevel="0" collapsed="false">
      <c r="A737" s="17" t="n">
        <v>11</v>
      </c>
      <c r="B737" s="0" t="n">
        <f aca="false">IFERROR(__xludf.dummyfunction("""COMPUTED_VALUE"""),1014)</f>
        <v>1014</v>
      </c>
      <c r="C737" s="24" t="n">
        <f aca="false">IFERROR(__xludf.dummyfunction("""COMPUTED_VALUE"""),690)</f>
        <v>690</v>
      </c>
      <c r="D737" s="0" t="n">
        <f aca="false">IFERROR(__xludf.dummyfunction("""COMPUTED_VALUE"""),5)</f>
        <v>5</v>
      </c>
      <c r="E737" s="0" t="n">
        <f aca="false">IFERROR(__xludf.dummyfunction("""COMPUTED_VALUE"""),240)</f>
        <v>240</v>
      </c>
      <c r="F737" s="0" t="str">
        <f aca="false">IFERROR(__xludf.dummyfunction("filter(Formulas!$C:$C,Formulas!$A:$A=B737)"),"""formula"":null")</f>
        <v>"formula":null</v>
      </c>
      <c r="G737" s="0" t="n">
        <f aca="false">IFERROR(__xludf.dummyfunction("""COMPUTED_VALUE"""),24)</f>
        <v>24</v>
      </c>
      <c r="H737" s="21" t="str">
        <f aca="false">IFERROR(__xludf.dummyfunction("IF(D737,filter(Productos!AC:AC,Productos!A:A=B737),)"),"fabrica")</f>
        <v>fabrica</v>
      </c>
      <c r="I737" s="24" t="str">
        <f aca="false">IFERROR(__xludf.dummyfunction("""COMPUTED_VALUE"""),"")</f>
        <v/>
      </c>
      <c r="K737" s="0" t="e">
        <f aca="false">IF(D737,"{""sku"":"""&amp;B737&amp;""", ""costo"":"&amp;C737&amp;", ""grupo"":"""&amp;A737&amp;""", ""lote"":"&amp;D737&amp;", ""tiempo"":"&amp;E737&amp;", "&amp;F737&amp;", ""vencimiento"":"&amp;G737&amp;IF(I737,", ""precio"":"&amp;I737,)&amp;", ""tipo"":"""&amp;H737&amp;"""},",)</f>
        <v>#VALUE!</v>
      </c>
    </row>
    <row r="738" customFormat="false" ht="13" hidden="false" customHeight="false" outlineLevel="0" collapsed="false">
      <c r="A738" s="16" t="n">
        <v>11</v>
      </c>
      <c r="B738" s="0" t="n">
        <f aca="false">IFERROR(__xludf.dummyfunction("""COMPUTED_VALUE"""),1016)</f>
        <v>1016</v>
      </c>
      <c r="C738" s="24" t="n">
        <f aca="false">IFERROR(__xludf.dummyfunction("""COMPUTED_VALUE"""),2790)</f>
        <v>2790</v>
      </c>
      <c r="D738" s="0" t="n">
        <f aca="false">IFERROR(__xludf.dummyfunction("""COMPUTED_VALUE"""),8)</f>
        <v>8</v>
      </c>
      <c r="E738" s="0" t="n">
        <f aca="false">IFERROR(__xludf.dummyfunction("""COMPUTED_VALUE"""),600)</f>
        <v>600</v>
      </c>
      <c r="F738" s="0" t="str">
        <f aca="false">IFERROR(__xludf.dummyfunction("filter(Formulas!$C:$C,Formulas!$A:$A=B738)"),"""formula"":null")</f>
        <v>"formula":null</v>
      </c>
      <c r="G738" s="0" t="n">
        <f aca="false">IFERROR(__xludf.dummyfunction("""COMPUTED_VALUE"""),240)</f>
        <v>240</v>
      </c>
      <c r="H738" s="21" t="str">
        <f aca="false">IFERROR(__xludf.dummyfunction("IF(D738,filter(Productos!AC:AC,Productos!A:A=B738),)"),"fabrica")</f>
        <v>fabrica</v>
      </c>
      <c r="I738" s="0" t="str">
        <f aca="false">IFERROR(__xludf.dummyfunction("""COMPUTED_VALUE"""),"")</f>
        <v/>
      </c>
      <c r="K738" s="0" t="e">
        <f aca="false">IF(D738,"{""sku"":"""&amp;B738&amp;""", ""costo"":"&amp;C738&amp;", ""grupo"":"""&amp;A738&amp;""", ""lote"":"&amp;D738&amp;", ""tiempo"":"&amp;E738&amp;", "&amp;F738&amp;", ""vencimiento"":"&amp;G738&amp;IF(I738,", ""precio"":"&amp;I738,)&amp;", ""tipo"":"""&amp;H738&amp;"""},",)</f>
        <v>#VALUE!</v>
      </c>
    </row>
    <row r="739" customFormat="false" ht="13" hidden="false" customHeight="false" outlineLevel="0" collapsed="false">
      <c r="A739" s="17" t="n">
        <v>11</v>
      </c>
      <c r="B739" s="0" t="n">
        <f aca="false">IFERROR(__xludf.dummyfunction("""COMPUTED_VALUE"""),1101)</f>
        <v>1101</v>
      </c>
      <c r="C739" s="24" t="n">
        <f aca="false">IFERROR(__xludf.dummyfunction("""COMPUTED_VALUE"""),500)</f>
        <v>500</v>
      </c>
      <c r="D739" s="0" t="n">
        <f aca="false">IFERROR(__xludf.dummyfunction("""COMPUTED_VALUE"""),10)</f>
        <v>10</v>
      </c>
      <c r="E739" s="0" t="n">
        <f aca="false">IFERROR(__xludf.dummyfunction("""COMPUTED_VALUE"""),40)</f>
        <v>40</v>
      </c>
      <c r="F739" s="0" t="str">
        <f aca="false">IFERROR(__xludf.dummyfunction("filter(Formulas!$C:$C,Formulas!$A:$A=B739)"),"""formula"":[{""sku"":""1001"",""req"":8},{""sku"":""1003"",""req"":3},{""sku"":""1004"",""req"":2},{""sku"":""1002"",""req"":4}]")</f>
        <v>"formula":[{"sku":"1001","req":8},{"sku":"1003","req":3},{"sku":"1004","req":2},{"sku":"1002","req":4}]</v>
      </c>
      <c r="G739" s="0" t="n">
        <f aca="false">IFERROR(__xludf.dummyfunction("""COMPUTED_VALUE"""),3)</f>
        <v>3</v>
      </c>
      <c r="H739" s="21" t="str">
        <f aca="false">IFERROR(__xludf.dummyfunction("IF(D739,filter(Productos!AC:AC,Productos!A:A=B739),)"),"fabrica")</f>
        <v>fabrica</v>
      </c>
      <c r="I739" s="24" t="str">
        <f aca="false">IFERROR(__xludf.dummyfunction("""COMPUTED_VALUE"""),"")</f>
        <v/>
      </c>
      <c r="K739" s="0" t="e">
        <f aca="false">IF(D739,"{""sku"":"""&amp;B739&amp;""", ""costo"":"&amp;C739&amp;", ""grupo"":"""&amp;A739&amp;""", ""lote"":"&amp;D739&amp;", ""tiempo"":"&amp;E739&amp;", "&amp;F739&amp;", ""vencimiento"":"&amp;G739&amp;IF(I739,", ""precio"":"&amp;I739,)&amp;", ""tipo"":"""&amp;H739&amp;"""},",)</f>
        <v>#VALUE!</v>
      </c>
    </row>
    <row r="740" customFormat="false" ht="13" hidden="false" customHeight="false" outlineLevel="0" collapsed="false">
      <c r="A740" s="16" t="n">
        <v>11</v>
      </c>
      <c r="B740" s="0" t="n">
        <f aca="false">IFERROR(__xludf.dummyfunction("""COMPUTED_VALUE"""),1105)</f>
        <v>1105</v>
      </c>
      <c r="C740" s="24" t="n">
        <f aca="false">IFERROR(__xludf.dummyfunction("""COMPUTED_VALUE"""),10)</f>
        <v>10</v>
      </c>
      <c r="D740" s="0" t="n">
        <f aca="false">IFERROR(__xludf.dummyfunction("""COMPUTED_VALUE"""),10)</f>
        <v>10</v>
      </c>
      <c r="E740" s="0" t="n">
        <f aca="false">IFERROR(__xludf.dummyfunction("""COMPUTED_VALUE"""),10)</f>
        <v>10</v>
      </c>
      <c r="F740" s="0" t="str">
        <f aca="false">IFERROR(__xludf.dummyfunction("filter(Formulas!$C:$C,Formulas!$A:$A=B740)"),"""formula"":[{""sku"":""1005"",""req"":1}]")</f>
        <v>"formula":[{"sku":"1005","req":1}]</v>
      </c>
      <c r="G740" s="0" t="n">
        <f aca="false">IFERROR(__xludf.dummyfunction("""COMPUTED_VALUE"""),3)</f>
        <v>3</v>
      </c>
      <c r="H740" s="21" t="str">
        <f aca="false">IFERROR(__xludf.dummyfunction("IF(D740,filter(Productos!AC:AC,Productos!A:A=B740),)"),"fabrica")</f>
        <v>fabrica</v>
      </c>
      <c r="I740" s="24" t="str">
        <f aca="false">IFERROR(__xludf.dummyfunction("""COMPUTED_VALUE"""),"")</f>
        <v/>
      </c>
      <c r="K740" s="0" t="e">
        <f aca="false">IF(D740,"{""sku"":"""&amp;B740&amp;""", ""costo"":"&amp;C740&amp;", ""grupo"":"""&amp;A740&amp;""", ""lote"":"&amp;D740&amp;", ""tiempo"":"&amp;E740&amp;", "&amp;F740&amp;", ""vencimiento"":"&amp;G740&amp;IF(I740,", ""precio"":"&amp;I740,)&amp;", ""tipo"":"""&amp;H740&amp;"""},",)</f>
        <v>#VALUE!</v>
      </c>
    </row>
    <row r="741" customFormat="false" ht="13" hidden="false" customHeight="false" outlineLevel="0" collapsed="false">
      <c r="A741" s="17" t="n">
        <v>11</v>
      </c>
      <c r="B741" s="0" t="n">
        <f aca="false">IFERROR(__xludf.dummyfunction("""COMPUTED_VALUE"""),1106)</f>
        <v>1106</v>
      </c>
      <c r="C741" s="24" t="n">
        <f aca="false">IFERROR(__xludf.dummyfunction("""COMPUTED_VALUE"""),700)</f>
        <v>700</v>
      </c>
      <c r="D741" s="0" t="n">
        <f aca="false">IFERROR(__xludf.dummyfunction("""COMPUTED_VALUE"""),100)</f>
        <v>100</v>
      </c>
      <c r="E741" s="0" t="n">
        <f aca="false">IFERROR(__xludf.dummyfunction("""COMPUTED_VALUE"""),30)</f>
        <v>30</v>
      </c>
      <c r="F741" s="0" t="str">
        <f aca="false">IFERROR(__xludf.dummyfunction("filter(Formulas!$C:$C,Formulas!$A:$A=B741)"),"""formula"":[{""sku"":""1006"",""req"":1}]")</f>
        <v>"formula":[{"sku":"1006","req":1}]</v>
      </c>
      <c r="G741" s="0" t="n">
        <f aca="false">IFERROR(__xludf.dummyfunction("""COMPUTED_VALUE"""),4)</f>
        <v>4</v>
      </c>
      <c r="H741" s="21" t="str">
        <f aca="false">IFERROR(__xludf.dummyfunction("IF(D741,filter(Productos!AC:AC,Productos!A:A=B741),)"),"fabrica")</f>
        <v>fabrica</v>
      </c>
      <c r="I741" s="24" t="str">
        <f aca="false">IFERROR(__xludf.dummyfunction("""COMPUTED_VALUE"""),"")</f>
        <v/>
      </c>
      <c r="K741" s="0" t="e">
        <f aca="false">IF(D741,"{""sku"":"""&amp;B741&amp;""", ""costo"":"&amp;C741&amp;", ""grupo"":"""&amp;A741&amp;""", ""lote"":"&amp;D741&amp;", ""tiempo"":"&amp;E741&amp;", "&amp;F741&amp;", ""vencimiento"":"&amp;G741&amp;IF(I741,", ""precio"":"&amp;I741,)&amp;", ""tipo"":"""&amp;H741&amp;"""},",)</f>
        <v>#VALUE!</v>
      </c>
    </row>
    <row r="742" customFormat="false" ht="13" hidden="false" customHeight="false" outlineLevel="0" collapsed="false">
      <c r="A742" s="16" t="n">
        <v>11</v>
      </c>
      <c r="B742" s="0" t="n">
        <f aca="false">IFERROR(__xludf.dummyfunction("""COMPUTED_VALUE"""),1107)</f>
        <v>1107</v>
      </c>
      <c r="C742" s="24" t="n">
        <f aca="false">IFERROR(__xludf.dummyfunction("""COMPUTED_VALUE"""),10)</f>
        <v>10</v>
      </c>
      <c r="D742" s="0" t="n">
        <f aca="false">IFERROR(__xludf.dummyfunction("""COMPUTED_VALUE"""),11)</f>
        <v>11</v>
      </c>
      <c r="E742" s="0" t="n">
        <f aca="false">IFERROR(__xludf.dummyfunction("""COMPUTED_VALUE"""),20)</f>
        <v>20</v>
      </c>
      <c r="F742" s="0" t="str">
        <f aca="false">IFERROR(__xludf.dummyfunction("filter(Formulas!$C:$C,Formulas!$A:$A=B742)"),"""formula"":[{""sku"":""1007"",""req"":1}]")</f>
        <v>"formula":[{"sku":"1007","req":1}]</v>
      </c>
      <c r="G742" s="0" t="n">
        <f aca="false">IFERROR(__xludf.dummyfunction("""COMPUTED_VALUE"""),2)</f>
        <v>2</v>
      </c>
      <c r="H742" s="21" t="str">
        <f aca="false">IFERROR(__xludf.dummyfunction("IF(D742,filter(Productos!AC:AC,Productos!A:A=B742),)"),"fabrica")</f>
        <v>fabrica</v>
      </c>
      <c r="I742" s="24" t="str">
        <f aca="false">IFERROR(__xludf.dummyfunction("""COMPUTED_VALUE"""),"")</f>
        <v/>
      </c>
      <c r="K742" s="0" t="e">
        <f aca="false">IF(D742,"{""sku"":"""&amp;B742&amp;""", ""costo"":"&amp;C742&amp;", ""grupo"":"""&amp;A742&amp;""", ""lote"":"&amp;D742&amp;", ""tiempo"":"&amp;E742&amp;", "&amp;F742&amp;", ""vencimiento"":"&amp;G742&amp;IF(I742,", ""precio"":"&amp;I742,)&amp;", ""tipo"":"""&amp;H742&amp;"""},",)</f>
        <v>#VALUE!</v>
      </c>
    </row>
    <row r="743" customFormat="false" ht="13" hidden="false" customHeight="false" outlineLevel="0" collapsed="false">
      <c r="A743" s="17" t="n">
        <v>11</v>
      </c>
      <c r="B743" s="0" t="n">
        <f aca="false">IFERROR(__xludf.dummyfunction("""COMPUTED_VALUE"""),1108)</f>
        <v>1108</v>
      </c>
      <c r="C743" s="24" t="n">
        <f aca="false">IFERROR(__xludf.dummyfunction("""COMPUTED_VALUE"""),10)</f>
        <v>10</v>
      </c>
      <c r="D743" s="0" t="n">
        <f aca="false">IFERROR(__xludf.dummyfunction("""COMPUTED_VALUE"""),6)</f>
        <v>6</v>
      </c>
      <c r="E743" s="0" t="n">
        <f aca="false">IFERROR(__xludf.dummyfunction("""COMPUTED_VALUE"""),20)</f>
        <v>20</v>
      </c>
      <c r="F743" s="0" t="str">
        <f aca="false">IFERROR(__xludf.dummyfunction("filter(Formulas!$C:$C,Formulas!$A:$A=B743)"),"""formula"":[{""sku"":""1008"",""req"":1}]")</f>
        <v>"formula":[{"sku":"1008","req":1}]</v>
      </c>
      <c r="G743" s="0" t="n">
        <f aca="false">IFERROR(__xludf.dummyfunction("""COMPUTED_VALUE"""),4)</f>
        <v>4</v>
      </c>
      <c r="H743" s="21" t="str">
        <f aca="false">IFERROR(__xludf.dummyfunction("IF(D743,filter(Productos!AC:AC,Productos!A:A=B743),)"),"fabrica")</f>
        <v>fabrica</v>
      </c>
      <c r="I743" s="24" t="str">
        <f aca="false">IFERROR(__xludf.dummyfunction("""COMPUTED_VALUE"""),"")</f>
        <v/>
      </c>
      <c r="K743" s="0" t="e">
        <f aca="false">IF(D743,"{""sku"":"""&amp;B743&amp;""", ""costo"":"&amp;C743&amp;", ""grupo"":"""&amp;A743&amp;""", ""lote"":"&amp;D743&amp;", ""tiempo"":"&amp;E743&amp;", "&amp;F743&amp;", ""vencimiento"":"&amp;G743&amp;IF(I743,", ""precio"":"&amp;I743,)&amp;", ""tipo"":"""&amp;H743&amp;"""},",)</f>
        <v>#VALUE!</v>
      </c>
    </row>
    <row r="744" customFormat="false" ht="13" hidden="false" customHeight="false" outlineLevel="0" collapsed="false">
      <c r="A744" s="16" t="n">
        <v>11</v>
      </c>
      <c r="B744" s="0" t="n">
        <f aca="false">IFERROR(__xludf.dummyfunction("""COMPUTED_VALUE"""),1109)</f>
        <v>1109</v>
      </c>
      <c r="C744" s="24" t="n">
        <f aca="false">IFERROR(__xludf.dummyfunction("""COMPUTED_VALUE"""),10)</f>
        <v>10</v>
      </c>
      <c r="D744" s="0" t="n">
        <f aca="false">IFERROR(__xludf.dummyfunction("""COMPUTED_VALUE"""),12)</f>
        <v>12</v>
      </c>
      <c r="E744" s="0" t="n">
        <f aca="false">IFERROR(__xludf.dummyfunction("""COMPUTED_VALUE"""),30)</f>
        <v>30</v>
      </c>
      <c r="F744" s="0" t="str">
        <f aca="false">IFERROR(__xludf.dummyfunction("filter(Formulas!$C:$C,Formulas!$A:$A=B744)"),"""formula"":[{""sku"":""1009"",""req"":1}]")</f>
        <v>"formula":[{"sku":"1009","req":1}]</v>
      </c>
      <c r="G744" s="0" t="n">
        <f aca="false">IFERROR(__xludf.dummyfunction("""COMPUTED_VALUE"""),1.5)</f>
        <v>1.5</v>
      </c>
      <c r="H744" s="21" t="str">
        <f aca="false">IFERROR(__xludf.dummyfunction("IF(D744,filter(Productos!AC:AC,Productos!A:A=B744),)"),"fabrica")</f>
        <v>fabrica</v>
      </c>
      <c r="I744" s="24" t="str">
        <f aca="false">IFERROR(__xludf.dummyfunction("""COMPUTED_VALUE"""),"")</f>
        <v/>
      </c>
      <c r="K744" s="0" t="e">
        <f aca="false">IF(D744,"{""sku"":"""&amp;B744&amp;""", ""costo"":"&amp;C744&amp;", ""grupo"":"""&amp;A744&amp;""", ""lote"":"&amp;D744&amp;", ""tiempo"":"&amp;E744&amp;", "&amp;F744&amp;", ""vencimiento"":"&amp;G744&amp;IF(I744,", ""precio"":"&amp;I744,)&amp;", ""tipo"":"""&amp;H744&amp;"""},",)</f>
        <v>#VALUE!</v>
      </c>
    </row>
    <row r="745" customFormat="false" ht="13" hidden="false" customHeight="false" outlineLevel="0" collapsed="false">
      <c r="A745" s="17" t="n">
        <v>11</v>
      </c>
      <c r="B745" s="0" t="n">
        <f aca="false">IFERROR(__xludf.dummyfunction("""COMPUTED_VALUE"""),1110)</f>
        <v>1110</v>
      </c>
      <c r="C745" s="24" t="n">
        <f aca="false">IFERROR(__xludf.dummyfunction("""COMPUTED_VALUE"""),10)</f>
        <v>10</v>
      </c>
      <c r="D745" s="0" t="n">
        <f aca="false">IFERROR(__xludf.dummyfunction("""COMPUTED_VALUE"""),6)</f>
        <v>6</v>
      </c>
      <c r="E745" s="0" t="n">
        <f aca="false">IFERROR(__xludf.dummyfunction("""COMPUTED_VALUE"""),10)</f>
        <v>10</v>
      </c>
      <c r="F745" s="0" t="str">
        <f aca="false">IFERROR(__xludf.dummyfunction("filter(Formulas!$C:$C,Formulas!$A:$A=B745)"),"""formula"":[{""sku"":""1010"",""req"":1}]")</f>
        <v>"formula":[{"sku":"1010","req":1}]</v>
      </c>
      <c r="G745" s="0" t="n">
        <f aca="false">IFERROR(__xludf.dummyfunction("""COMPUTED_VALUE"""),2)</f>
        <v>2</v>
      </c>
      <c r="H745" s="21" t="str">
        <f aca="false">IFERROR(__xludf.dummyfunction("IF(D745,filter(Productos!AC:AC,Productos!A:A=B745),)"),"fabrica")</f>
        <v>fabrica</v>
      </c>
      <c r="I745" s="24" t="str">
        <f aca="false">IFERROR(__xludf.dummyfunction("""COMPUTED_VALUE"""),"")</f>
        <v/>
      </c>
      <c r="K745" s="0" t="e">
        <f aca="false">IF(D745,"{""sku"":"""&amp;B745&amp;""", ""costo"":"&amp;C745&amp;", ""grupo"":"""&amp;A745&amp;""", ""lote"":"&amp;D745&amp;", ""tiempo"":"&amp;E745&amp;", "&amp;F745&amp;", ""vencimiento"":"&amp;G745&amp;IF(I745,", ""precio"":"&amp;I745,)&amp;", ""tipo"":"""&amp;H745&amp;"""},",)</f>
        <v>#VALUE!</v>
      </c>
    </row>
    <row r="746" customFormat="false" ht="13" hidden="false" customHeight="false" outlineLevel="0" collapsed="false">
      <c r="A746" s="16" t="n">
        <v>11</v>
      </c>
      <c r="B746" s="0" t="n">
        <f aca="false">IFERROR(__xludf.dummyfunction("""COMPUTED_VALUE"""),1111)</f>
        <v>1111</v>
      </c>
      <c r="C746" s="24" t="n">
        <f aca="false">IFERROR(__xludf.dummyfunction("""COMPUTED_VALUE"""),120)</f>
        <v>120</v>
      </c>
      <c r="D746" s="0" t="n">
        <f aca="false">IFERROR(__xludf.dummyfunction("""COMPUTED_VALUE"""),2)</f>
        <v>2</v>
      </c>
      <c r="E746" s="0" t="n">
        <f aca="false">IFERROR(__xludf.dummyfunction("""COMPUTED_VALUE"""),30)</f>
        <v>30</v>
      </c>
      <c r="F746" s="0" t="str">
        <f aca="false">IFERROR(__xludf.dummyfunction("filter(Formulas!$C:$C,Formulas!$A:$A=B746)"),"""formula"":[{""sku"":""1011"",""req"":2}]")</f>
        <v>"formula":[{"sku":"1011","req":2}]</v>
      </c>
      <c r="G746" s="0" t="n">
        <f aca="false">IFERROR(__xludf.dummyfunction("""COMPUTED_VALUE"""),12)</f>
        <v>12</v>
      </c>
      <c r="H746" s="21" t="str">
        <f aca="false">IFERROR(__xludf.dummyfunction("IF(D746,filter(Productos!AC:AC,Productos!A:A=B746),)"),"fabrica")</f>
        <v>fabrica</v>
      </c>
      <c r="I746" s="24" t="str">
        <f aca="false">IFERROR(__xludf.dummyfunction("""COMPUTED_VALUE"""),"")</f>
        <v/>
      </c>
      <c r="K746" s="0" t="e">
        <f aca="false">IF(D746,"{""sku"":"""&amp;B746&amp;""", ""costo"":"&amp;C746&amp;", ""grupo"":"""&amp;A746&amp;""", ""lote"":"&amp;D746&amp;", ""tiempo"":"&amp;E746&amp;", "&amp;F746&amp;", ""vencimiento"":"&amp;G746&amp;IF(I746,", ""precio"":"&amp;I746,)&amp;", ""tipo"":"""&amp;H746&amp;"""},",)</f>
        <v>#VALUE!</v>
      </c>
    </row>
    <row r="747" customFormat="false" ht="13" hidden="false" customHeight="false" outlineLevel="0" collapsed="false">
      <c r="A747" s="17" t="n">
        <v>11</v>
      </c>
      <c r="B747" s="0" t="n">
        <f aca="false">IFERROR(__xludf.dummyfunction("""COMPUTED_VALUE"""),1112)</f>
        <v>1112</v>
      </c>
      <c r="C747" s="24" t="n">
        <f aca="false">IFERROR(__xludf.dummyfunction("""COMPUTED_VALUE"""),10)</f>
        <v>10</v>
      </c>
      <c r="D747" s="0" t="n">
        <f aca="false">IFERROR(__xludf.dummyfunction("""COMPUTED_VALUE"""),20)</f>
        <v>20</v>
      </c>
      <c r="E747" s="0" t="n">
        <f aca="false">IFERROR(__xludf.dummyfunction("""COMPUTED_VALUE"""),10)</f>
        <v>10</v>
      </c>
      <c r="F747" s="0" t="str">
        <f aca="false">IFERROR(__xludf.dummyfunction("filter(Formulas!$C:$C,Formulas!$A:$A=B747)"),"""formula"":[{""sku"":""1012"",""req"":1}]")</f>
        <v>"formula":[{"sku":"1012","req":1}]</v>
      </c>
      <c r="G747" s="0" t="n">
        <f aca="false">IFERROR(__xludf.dummyfunction("""COMPUTED_VALUE"""),24)</f>
        <v>24</v>
      </c>
      <c r="H747" s="21" t="str">
        <f aca="false">IFERROR(__xludf.dummyfunction("IF(D747,filter(Productos!AC:AC,Productos!A:A=B747),)"),"fabrica")</f>
        <v>fabrica</v>
      </c>
      <c r="I747" s="24" t="str">
        <f aca="false">IFERROR(__xludf.dummyfunction("""COMPUTED_VALUE"""),"")</f>
        <v/>
      </c>
      <c r="K747" s="0" t="e">
        <f aca="false">IF(D747,"{""sku"":"""&amp;B747&amp;""", ""costo"":"&amp;C747&amp;", ""grupo"":"""&amp;A747&amp;""", ""lote"":"&amp;D747&amp;", ""tiempo"":"&amp;E747&amp;", "&amp;F747&amp;", ""vencimiento"":"&amp;G747&amp;IF(I747,", ""precio"":"&amp;I747,)&amp;", ""tipo"":"""&amp;H747&amp;"""},",)</f>
        <v>#VALUE!</v>
      </c>
    </row>
    <row r="748" customFormat="false" ht="13" hidden="false" customHeight="false" outlineLevel="0" collapsed="false">
      <c r="A748" s="16" t="n">
        <v>11</v>
      </c>
      <c r="B748" s="0" t="n">
        <f aca="false">IFERROR(__xludf.dummyfunction("""COMPUTED_VALUE"""),1114)</f>
        <v>1114</v>
      </c>
      <c r="C748" s="24" t="n">
        <f aca="false">IFERROR(__xludf.dummyfunction("""COMPUTED_VALUE"""),10)</f>
        <v>10</v>
      </c>
      <c r="D748" s="0" t="n">
        <f aca="false">IFERROR(__xludf.dummyfunction("""COMPUTED_VALUE"""),4)</f>
        <v>4</v>
      </c>
      <c r="E748" s="0" t="n">
        <f aca="false">IFERROR(__xludf.dummyfunction("""COMPUTED_VALUE"""),10)</f>
        <v>10</v>
      </c>
      <c r="F748" s="0" t="str">
        <f aca="false">IFERROR(__xludf.dummyfunction("filter(Formulas!$C:$C,Formulas!$A:$A=B748)"),"""formula"":[{""sku"":""1014"",""req"":1}]")</f>
        <v>"formula":[{"sku":"1014","req":1}]</v>
      </c>
      <c r="G748" s="0" t="n">
        <f aca="false">IFERROR(__xludf.dummyfunction("""COMPUTED_VALUE"""),2)</f>
        <v>2</v>
      </c>
      <c r="H748" s="21" t="str">
        <f aca="false">IFERROR(__xludf.dummyfunction("IF(D748,filter(Productos!AC:AC,Productos!A:A=B748),)"),"fabrica")</f>
        <v>fabrica</v>
      </c>
      <c r="I748" s="24" t="str">
        <f aca="false">IFERROR(__xludf.dummyfunction("""COMPUTED_VALUE"""),"")</f>
        <v/>
      </c>
      <c r="K748" s="0" t="e">
        <f aca="false">IF(D748,"{""sku"":"""&amp;B748&amp;""", ""costo"":"&amp;C748&amp;", ""grupo"":"""&amp;A748&amp;""", ""lote"":"&amp;D748&amp;", ""tiempo"":"&amp;E748&amp;", "&amp;F748&amp;", ""vencimiento"":"&amp;G748&amp;IF(I748,", ""precio"":"&amp;I748,)&amp;", ""tipo"":"""&amp;H748&amp;"""},",)</f>
        <v>#VALUE!</v>
      </c>
    </row>
    <row r="749" customFormat="false" ht="13" hidden="false" customHeight="false" outlineLevel="0" collapsed="false">
      <c r="A749" s="17" t="n">
        <v>11</v>
      </c>
      <c r="B749" s="0" t="n">
        <f aca="false">IFERROR(__xludf.dummyfunction("""COMPUTED_VALUE"""),1115)</f>
        <v>1115</v>
      </c>
      <c r="C749" s="24" t="n">
        <f aca="false">IFERROR(__xludf.dummyfunction("""COMPUTED_VALUE"""),10)</f>
        <v>10</v>
      </c>
      <c r="D749" s="0" t="n">
        <f aca="false">IFERROR(__xludf.dummyfunction("""COMPUTED_VALUE"""),8)</f>
        <v>8</v>
      </c>
      <c r="E749" s="0" t="n">
        <f aca="false">IFERROR(__xludf.dummyfunction("""COMPUTED_VALUE"""),10)</f>
        <v>10</v>
      </c>
      <c r="F749" s="0" t="str">
        <f aca="false">IFERROR(__xludf.dummyfunction("filter(Formulas!$C:$C,Formulas!$A:$A=B749)"),"""formula"":[{""sku"":""1015"",""req"":2}]")</f>
        <v>"formula":[{"sku":"1015","req":2}]</v>
      </c>
      <c r="G749" s="0" t="n">
        <f aca="false">IFERROR(__xludf.dummyfunction("""COMPUTED_VALUE"""),3)</f>
        <v>3</v>
      </c>
      <c r="H749" s="21" t="str">
        <f aca="false">IFERROR(__xludf.dummyfunction("IF(D749,filter(Productos!AC:AC,Productos!A:A=B749),)"),"fabrica")</f>
        <v>fabrica</v>
      </c>
      <c r="I749" s="24" t="str">
        <f aca="false">IFERROR(__xludf.dummyfunction("""COMPUTED_VALUE"""),"")</f>
        <v/>
      </c>
      <c r="K749" s="0" t="e">
        <f aca="false">IF(D749,"{""sku"":"""&amp;B749&amp;""", ""costo"":"&amp;C749&amp;", ""grupo"":"""&amp;A749&amp;""", ""lote"":"&amp;D749&amp;", ""tiempo"":"&amp;E749&amp;", "&amp;F749&amp;", ""vencimiento"":"&amp;G749&amp;IF(I749,", ""precio"":"&amp;I749,)&amp;", ""tipo"":"""&amp;H749&amp;"""},",)</f>
        <v>#VALUE!</v>
      </c>
    </row>
    <row r="750" customFormat="false" ht="13" hidden="false" customHeight="false" outlineLevel="0" collapsed="false">
      <c r="A750" s="16" t="n">
        <v>11</v>
      </c>
      <c r="B750" s="0" t="n">
        <f aca="false">IFERROR(__xludf.dummyfunction("""COMPUTED_VALUE"""),1116)</f>
        <v>1116</v>
      </c>
      <c r="C750" s="24" t="n">
        <f aca="false">IFERROR(__xludf.dummyfunction("""COMPUTED_VALUE"""),10)</f>
        <v>10</v>
      </c>
      <c r="D750" s="0" t="n">
        <f aca="false">IFERROR(__xludf.dummyfunction("""COMPUTED_VALUE"""),10)</f>
        <v>10</v>
      </c>
      <c r="E750" s="0" t="n">
        <f aca="false">IFERROR(__xludf.dummyfunction("""COMPUTED_VALUE"""),40)</f>
        <v>40</v>
      </c>
      <c r="F750" s="0" t="str">
        <f aca="false">IFERROR(__xludf.dummyfunction("filter(Formulas!$C:$C,Formulas!$A:$A=B750)"),"""formula"":[{""sku"":""1016"",""req"":11}]")</f>
        <v>"formula":[{"sku":"1016","req":11}]</v>
      </c>
      <c r="G750" s="0" t="n">
        <f aca="false">IFERROR(__xludf.dummyfunction("""COMPUTED_VALUE"""),24)</f>
        <v>24</v>
      </c>
      <c r="H750" s="21" t="str">
        <f aca="false">IFERROR(__xludf.dummyfunction("IF(D750,filter(Productos!AC:AC,Productos!A:A=B750),)"),"fabrica")</f>
        <v>fabrica</v>
      </c>
      <c r="I750" s="0" t="str">
        <f aca="false">IFERROR(__xludf.dummyfunction("""COMPUTED_VALUE"""),"")</f>
        <v/>
      </c>
      <c r="K750" s="0" t="e">
        <f aca="false">IF(D750,"{""sku"":"""&amp;B750&amp;""", ""costo"":"&amp;C750&amp;", ""grupo"":"""&amp;A750&amp;""", ""lote"":"&amp;D750&amp;", ""tiempo"":"&amp;E750&amp;", "&amp;F750&amp;", ""vencimiento"":"&amp;G750&amp;IF(I750,", ""precio"":"&amp;I750,)&amp;", ""tipo"":"""&amp;H750&amp;"""},",)</f>
        <v>#VALUE!</v>
      </c>
    </row>
    <row r="751" customFormat="false" ht="13" hidden="false" customHeight="false" outlineLevel="0" collapsed="false">
      <c r="A751" s="17" t="n">
        <v>11</v>
      </c>
      <c r="B751" s="0" t="n">
        <f aca="false">IFERROR(__xludf.dummyfunction("""COMPUTED_VALUE"""),1201)</f>
        <v>1201</v>
      </c>
      <c r="C751" s="24" t="n">
        <f aca="false">IFERROR(__xludf.dummyfunction("""COMPUTED_VALUE"""),10)</f>
        <v>10</v>
      </c>
      <c r="D751" s="0" t="n">
        <f aca="false">IFERROR(__xludf.dummyfunction("""COMPUTED_VALUE"""),10)</f>
        <v>10</v>
      </c>
      <c r="E751" s="0" t="n">
        <f aca="false">IFERROR(__xludf.dummyfunction("""COMPUTED_VALUE"""),10)</f>
        <v>10</v>
      </c>
      <c r="F751" s="0" t="str">
        <f aca="false">IFERROR(__xludf.dummyfunction("filter(Formulas!$C:$C,Formulas!$A:$A=B751)"),"""formula"":[{""sku"":""1101"",""req"":1}]")</f>
        <v>"formula":[{"sku":"1101","req":1}]</v>
      </c>
      <c r="G751" s="0" t="n">
        <f aca="false">IFERROR(__xludf.dummyfunction("""COMPUTED_VALUE"""),2)</f>
        <v>2</v>
      </c>
      <c r="H751" s="21" t="str">
        <f aca="false">IFERROR(__xludf.dummyfunction("IF(D751,filter(Productos!AC:AC,Productos!A:A=B751),)"),"fabrica")</f>
        <v>fabrica</v>
      </c>
      <c r="I751" s="24" t="str">
        <f aca="false">IFERROR(__xludf.dummyfunction("""COMPUTED_VALUE"""),"")</f>
        <v/>
      </c>
      <c r="K751" s="0" t="e">
        <f aca="false">IF(D751,"{""sku"":"""&amp;B751&amp;""", ""costo"":"&amp;C751&amp;", ""grupo"":"""&amp;A751&amp;""", ""lote"":"&amp;D751&amp;", ""tiempo"":"&amp;E751&amp;", "&amp;F751&amp;", ""vencimiento"":"&amp;G751&amp;IF(I751,", ""precio"":"&amp;I751,)&amp;", ""tipo"":"""&amp;H751&amp;"""},",)</f>
        <v>#VALUE!</v>
      </c>
    </row>
    <row r="752" customFormat="false" ht="13" hidden="false" customHeight="false" outlineLevel="0" collapsed="false">
      <c r="A752" s="16" t="n">
        <v>11</v>
      </c>
      <c r="B752" s="0" t="n">
        <f aca="false">IFERROR(__xludf.dummyfunction("""COMPUTED_VALUE"""),1207)</f>
        <v>1207</v>
      </c>
      <c r="C752" s="24" t="n">
        <f aca="false">IFERROR(__xludf.dummyfunction("""COMPUTED_VALUE"""),30)</f>
        <v>30</v>
      </c>
      <c r="D752" s="0" t="n">
        <f aca="false">IFERROR(__xludf.dummyfunction("""COMPUTED_VALUE"""),12)</f>
        <v>12</v>
      </c>
      <c r="E752" s="0" t="n">
        <f aca="false">IFERROR(__xludf.dummyfunction("""COMPUTED_VALUE"""),20)</f>
        <v>20</v>
      </c>
      <c r="F752" s="0" t="str">
        <f aca="false">IFERROR(__xludf.dummyfunction("filter(Formulas!$C:$C,Formulas!$A:$A=B752)"),"""formula"":[{""sku"":""1007"",""req"":1}]")</f>
        <v>"formula":[{"sku":"1007","req":1}]</v>
      </c>
      <c r="G752" s="0" t="n">
        <f aca="false">IFERROR(__xludf.dummyfunction("""COMPUTED_VALUE"""),2)</f>
        <v>2</v>
      </c>
      <c r="H752" s="21" t="str">
        <f aca="false">IFERROR(__xludf.dummyfunction("IF(D752,filter(Productos!AC:AC,Productos!A:A=B752),)"),"fabrica")</f>
        <v>fabrica</v>
      </c>
      <c r="I752" s="24" t="str">
        <f aca="false">IFERROR(__xludf.dummyfunction("""COMPUTED_VALUE"""),"")</f>
        <v/>
      </c>
      <c r="K752" s="0" t="e">
        <f aca="false">IF(D752,"{""sku"":"""&amp;B752&amp;""", ""costo"":"&amp;C752&amp;", ""grupo"":"""&amp;A752&amp;""", ""lote"":"&amp;D752&amp;", ""tiempo"":"&amp;E752&amp;", "&amp;F752&amp;", ""vencimiento"":"&amp;G752&amp;IF(I752,", ""precio"":"&amp;I752,)&amp;", ""tipo"":"""&amp;H752&amp;"""},",)</f>
        <v>#VALUE!</v>
      </c>
    </row>
    <row r="753" customFormat="false" ht="13" hidden="false" customHeight="false" outlineLevel="0" collapsed="false">
      <c r="A753" s="17" t="n">
        <v>11</v>
      </c>
      <c r="B753" s="0" t="n">
        <f aca="false">IFERROR(__xludf.dummyfunction("""COMPUTED_VALUE"""),1209)</f>
        <v>1209</v>
      </c>
      <c r="C753" s="24" t="n">
        <f aca="false">IFERROR(__xludf.dummyfunction("""COMPUTED_VALUE"""),30)</f>
        <v>30</v>
      </c>
      <c r="D753" s="0" t="n">
        <f aca="false">IFERROR(__xludf.dummyfunction("""COMPUTED_VALUE"""),14)</f>
        <v>14</v>
      </c>
      <c r="E753" s="0" t="n">
        <f aca="false">IFERROR(__xludf.dummyfunction("""COMPUTED_VALUE"""),30)</f>
        <v>30</v>
      </c>
      <c r="F753" s="0" t="str">
        <f aca="false">IFERROR(__xludf.dummyfunction("filter(Formulas!$C:$C,Formulas!$A:$A=B753)"),"""formula"":[{""sku"":""1009"",""req"":1}]")</f>
        <v>"formula":[{"sku":"1009","req":1}]</v>
      </c>
      <c r="G753" s="0" t="n">
        <f aca="false">IFERROR(__xludf.dummyfunction("""COMPUTED_VALUE"""),1.5)</f>
        <v>1.5</v>
      </c>
      <c r="H753" s="21" t="str">
        <f aca="false">IFERROR(__xludf.dummyfunction("IF(D753,filter(Productos!AC:AC,Productos!A:A=B753),)"),"fabrica")</f>
        <v>fabrica</v>
      </c>
      <c r="I753" s="24" t="str">
        <f aca="false">IFERROR(__xludf.dummyfunction("""COMPUTED_VALUE"""),"")</f>
        <v/>
      </c>
      <c r="K753" s="0" t="e">
        <f aca="false">IF(D753,"{""sku"":"""&amp;B753&amp;""", ""costo"":"&amp;C753&amp;", ""grupo"":"""&amp;A753&amp;""", ""lote"":"&amp;D753&amp;", ""tiempo"":"&amp;E753&amp;", "&amp;F753&amp;", ""vencimiento"":"&amp;G753&amp;IF(I753,", ""precio"":"&amp;I753,)&amp;", ""tipo"":"""&amp;H753&amp;"""},",)</f>
        <v>#VALUE!</v>
      </c>
    </row>
    <row r="754" customFormat="false" ht="13" hidden="false" customHeight="false" outlineLevel="0" collapsed="false">
      <c r="A754" s="16" t="n">
        <v>11</v>
      </c>
      <c r="B754" s="0" t="n">
        <f aca="false">IFERROR(__xludf.dummyfunction("""COMPUTED_VALUE"""),1210)</f>
        <v>1210</v>
      </c>
      <c r="C754" s="24" t="n">
        <f aca="false">IFERROR(__xludf.dummyfunction("""COMPUTED_VALUE"""),10)</f>
        <v>10</v>
      </c>
      <c r="D754" s="0" t="n">
        <f aca="false">IFERROR(__xludf.dummyfunction("""COMPUTED_VALUE"""),9)</f>
        <v>9</v>
      </c>
      <c r="E754" s="0" t="n">
        <f aca="false">IFERROR(__xludf.dummyfunction("""COMPUTED_VALUE"""),10)</f>
        <v>10</v>
      </c>
      <c r="F754" s="0" t="str">
        <f aca="false">IFERROR(__xludf.dummyfunction("filter(Formulas!$C:$C,Formulas!$A:$A=B754)"),"""formula"":[{""sku"":""1010"",""req"":1}]")</f>
        <v>"formula":[{"sku":"1010","req":1}]</v>
      </c>
      <c r="G754" s="0" t="n">
        <f aca="false">IFERROR(__xludf.dummyfunction("""COMPUTED_VALUE"""),2.3)</f>
        <v>2.3</v>
      </c>
      <c r="H754" s="21" t="str">
        <f aca="false">IFERROR(__xludf.dummyfunction("IF(D754,filter(Productos!AC:AC,Productos!A:A=B754),)"),"fabrica")</f>
        <v>fabrica</v>
      </c>
      <c r="I754" s="24" t="str">
        <f aca="false">IFERROR(__xludf.dummyfunction("""COMPUTED_VALUE"""),"")</f>
        <v/>
      </c>
      <c r="K754" s="0" t="e">
        <f aca="false">IF(D754,"{""sku"":"""&amp;B754&amp;""", ""costo"":"&amp;C754&amp;", ""grupo"":"""&amp;A754&amp;""", ""lote"":"&amp;D754&amp;", ""tiempo"":"&amp;E754&amp;", "&amp;F754&amp;", ""vencimiento"":"&amp;G754&amp;IF(I754,", ""precio"":"&amp;I754,)&amp;", ""tipo"":"""&amp;H754&amp;"""},",)</f>
        <v>#VALUE!</v>
      </c>
    </row>
    <row r="755" customFormat="false" ht="13" hidden="false" customHeight="false" outlineLevel="0" collapsed="false">
      <c r="A755" s="17" t="n">
        <v>11</v>
      </c>
      <c r="B755" s="0" t="n">
        <f aca="false">IFERROR(__xludf.dummyfunction("""COMPUTED_VALUE"""),1211)</f>
        <v>1211</v>
      </c>
      <c r="C755" s="24" t="n">
        <f aca="false">IFERROR(__xludf.dummyfunction("""COMPUTED_VALUE"""),10)</f>
        <v>10</v>
      </c>
      <c r="D755" s="0" t="n">
        <f aca="false">IFERROR(__xludf.dummyfunction("""COMPUTED_VALUE"""),10)</f>
        <v>10</v>
      </c>
      <c r="E755" s="0" t="n">
        <f aca="false">IFERROR(__xludf.dummyfunction("""COMPUTED_VALUE"""),10)</f>
        <v>10</v>
      </c>
      <c r="F755" s="0" t="str">
        <f aca="false">IFERROR(__xludf.dummyfunction("filter(Formulas!$C:$C,Formulas!$A:$A=B755)"),"""formula"":[{""sku"":""1111"",""req"":1}]")</f>
        <v>"formula":[{"sku":"1111","req":1}]</v>
      </c>
      <c r="G755" s="0" t="n">
        <f aca="false">IFERROR(__xludf.dummyfunction("""COMPUTED_VALUE"""),12)</f>
        <v>12</v>
      </c>
      <c r="H755" s="21" t="str">
        <f aca="false">IFERROR(__xludf.dummyfunction("IF(D755,filter(Productos!AC:AC,Productos!A:A=B755),)"),"fabrica")</f>
        <v>fabrica</v>
      </c>
      <c r="I755" s="24" t="str">
        <f aca="false">IFERROR(__xludf.dummyfunction("""COMPUTED_VALUE"""),"")</f>
        <v/>
      </c>
      <c r="K755" s="0" t="e">
        <f aca="false">IF(D755,"{""sku"":"""&amp;B755&amp;""", ""costo"":"&amp;C755&amp;", ""grupo"":"""&amp;A755&amp;""", ""lote"":"&amp;D755&amp;", ""tiempo"":"&amp;E755&amp;", "&amp;F755&amp;", ""vencimiento"":"&amp;G755&amp;IF(I755,", ""precio"":"&amp;I755,)&amp;", ""tipo"":"""&amp;H755&amp;"""},",)</f>
        <v>#VALUE!</v>
      </c>
    </row>
    <row r="756" customFormat="false" ht="13" hidden="false" customHeight="false" outlineLevel="0" collapsed="false">
      <c r="A756" s="16" t="n">
        <v>11</v>
      </c>
      <c r="B756" s="0" t="n">
        <f aca="false">IFERROR(__xludf.dummyfunction("""COMPUTED_VALUE"""),1215)</f>
        <v>1215</v>
      </c>
      <c r="C756" s="24" t="n">
        <f aca="false">IFERROR(__xludf.dummyfunction("""COMPUTED_VALUE"""),0)</f>
        <v>0</v>
      </c>
      <c r="D756" s="0" t="n">
        <f aca="false">IFERROR(__xludf.dummyfunction("""COMPUTED_VALUE"""),8)</f>
        <v>8</v>
      </c>
      <c r="E756" s="0" t="n">
        <f aca="false">IFERROR(__xludf.dummyfunction("""COMPUTED_VALUE"""),10)</f>
        <v>10</v>
      </c>
      <c r="F756" s="0" t="str">
        <f aca="false">IFERROR(__xludf.dummyfunction("filter(Formulas!$C:$C,Formulas!$A:$A=B756)"),"""formula"":[{""sku"":""1015"",""req"":4}]")</f>
        <v>"formula":[{"sku":"1015","req":4}]</v>
      </c>
      <c r="G756" s="0" t="n">
        <f aca="false">IFERROR(__xludf.dummyfunction("""COMPUTED_VALUE"""),3)</f>
        <v>3</v>
      </c>
      <c r="H756" s="21" t="str">
        <f aca="false">IFERROR(__xludf.dummyfunction("IF(D756,filter(Productos!AC:AC,Productos!A:A=B756),)"),"fabrica")</f>
        <v>fabrica</v>
      </c>
      <c r="I756" s="24" t="str">
        <f aca="false">IFERROR(__xludf.dummyfunction("""COMPUTED_VALUE"""),"")</f>
        <v/>
      </c>
      <c r="K756" s="0" t="e">
        <f aca="false">IF(D756,"{""sku"":"""&amp;B756&amp;""", ""costo"":"&amp;C756&amp;", ""grupo"":"""&amp;A756&amp;""", ""lote"":"&amp;D756&amp;", ""tiempo"":"&amp;E756&amp;", "&amp;F756&amp;", ""vencimiento"":"&amp;G756&amp;IF(I756,", ""precio"":"&amp;I756,)&amp;", ""tipo"":"""&amp;H756&amp;"""},",)</f>
        <v>#VALUE!</v>
      </c>
    </row>
    <row r="757" customFormat="false" ht="13" hidden="false" customHeight="false" outlineLevel="0" collapsed="false">
      <c r="A757" s="17" t="n">
        <v>11</v>
      </c>
      <c r="B757" s="0" t="n">
        <f aca="false">IFERROR(__xludf.dummyfunction("""COMPUTED_VALUE"""),1216)</f>
        <v>1216</v>
      </c>
      <c r="C757" s="24" t="n">
        <f aca="false">IFERROR(__xludf.dummyfunction("""COMPUTED_VALUE"""),10)</f>
        <v>10</v>
      </c>
      <c r="D757" s="0" t="n">
        <f aca="false">IFERROR(__xludf.dummyfunction("""COMPUTED_VALUE"""),10)</f>
        <v>10</v>
      </c>
      <c r="E757" s="0" t="n">
        <f aca="false">IFERROR(__xludf.dummyfunction("""COMPUTED_VALUE"""),30)</f>
        <v>30</v>
      </c>
      <c r="F757" s="0" t="str">
        <f aca="false">IFERROR(__xludf.dummyfunction("filter(Formulas!$C:$C,Formulas!$A:$A=B757)"),"""formula"":[{""sku"":""1016"",""req"":2}]")</f>
        <v>"formula":[{"sku":"1016","req":2}]</v>
      </c>
      <c r="G757" s="0" t="n">
        <f aca="false">IFERROR(__xludf.dummyfunction("""COMPUTED_VALUE"""),24)</f>
        <v>24</v>
      </c>
      <c r="H757" s="21" t="str">
        <f aca="false">IFERROR(__xludf.dummyfunction("IF(D757,filter(Productos!AC:AC,Productos!A:A=B757),)"),"fabrica")</f>
        <v>fabrica</v>
      </c>
      <c r="I757" s="0" t="str">
        <f aca="false">IFERROR(__xludf.dummyfunction("""COMPUTED_VALUE"""),"")</f>
        <v/>
      </c>
      <c r="K757" s="0" t="e">
        <f aca="false">IF(D757,"{""sku"":"""&amp;B757&amp;""", ""costo"":"&amp;C757&amp;", ""grupo"":"""&amp;A757&amp;""", ""lote"":"&amp;D757&amp;", ""tiempo"":"&amp;E757&amp;", "&amp;F757&amp;", ""vencimiento"":"&amp;G757&amp;IF(I757,", ""precio"":"&amp;I757,)&amp;", ""tipo"":"""&amp;H757&amp;"""},",)</f>
        <v>#VALUE!</v>
      </c>
    </row>
    <row r="758" customFormat="false" ht="13" hidden="false" customHeight="false" outlineLevel="0" collapsed="false">
      <c r="A758" s="16" t="n">
        <v>11</v>
      </c>
      <c r="B758" s="0" t="n">
        <f aca="false">IFERROR(__xludf.dummyfunction("""COMPUTED_VALUE"""),1301)</f>
        <v>1301</v>
      </c>
      <c r="C758" s="24" t="n">
        <f aca="false">IFERROR(__xludf.dummyfunction("""COMPUTED_VALUE"""),10)</f>
        <v>10</v>
      </c>
      <c r="D758" s="0" t="n">
        <f aca="false">IFERROR(__xludf.dummyfunction("""COMPUTED_VALUE"""),5)</f>
        <v>5</v>
      </c>
      <c r="E758" s="0" t="n">
        <f aca="false">IFERROR(__xludf.dummyfunction("""COMPUTED_VALUE"""),10)</f>
        <v>10</v>
      </c>
      <c r="F758" s="0" t="str">
        <f aca="false">IFERROR(__xludf.dummyfunction("filter(Formulas!$C:$C,Formulas!$A:$A=B758)"),"""formula"":[{""sku"":""1101"",""req"":1}]")</f>
        <v>"formula":[{"sku":"1101","req":1}]</v>
      </c>
      <c r="G758" s="0" t="n">
        <f aca="false">IFERROR(__xludf.dummyfunction("""COMPUTED_VALUE"""),2)</f>
        <v>2</v>
      </c>
      <c r="H758" s="21" t="str">
        <f aca="false">IFERROR(__xludf.dummyfunction("IF(D758,filter(Productos!AC:AC,Productos!A:A=B758),)"),"fabrica")</f>
        <v>fabrica</v>
      </c>
      <c r="I758" s="24" t="str">
        <f aca="false">IFERROR(__xludf.dummyfunction("""COMPUTED_VALUE"""),"")</f>
        <v/>
      </c>
      <c r="K758" s="0" t="e">
        <f aca="false">IF(D758,"{""sku"":"""&amp;B758&amp;""", ""costo"":"&amp;C758&amp;", ""grupo"":"""&amp;A758&amp;""", ""lote"":"&amp;D758&amp;", ""tiempo"":"&amp;E758&amp;", "&amp;F758&amp;", ""vencimiento"":"&amp;G758&amp;IF(I758,", ""precio"":"&amp;I758,)&amp;", ""tipo"":"""&amp;H758&amp;"""},",)</f>
        <v>#VALUE!</v>
      </c>
    </row>
    <row r="759" customFormat="false" ht="13" hidden="false" customHeight="false" outlineLevel="0" collapsed="false">
      <c r="A759" s="17" t="n">
        <v>11</v>
      </c>
      <c r="B759" s="0" t="n">
        <f aca="false">IFERROR(__xludf.dummyfunction("""COMPUTED_VALUE"""),1307)</f>
        <v>1307</v>
      </c>
      <c r="C759" s="24" t="n">
        <f aca="false">IFERROR(__xludf.dummyfunction("""COMPUTED_VALUE"""),50)</f>
        <v>50</v>
      </c>
      <c r="D759" s="0" t="n">
        <f aca="false">IFERROR(__xludf.dummyfunction("""COMPUTED_VALUE"""),11)</f>
        <v>11</v>
      </c>
      <c r="E759" s="0" t="n">
        <f aca="false">IFERROR(__xludf.dummyfunction("""COMPUTED_VALUE"""),30)</f>
        <v>30</v>
      </c>
      <c r="F759" s="0" t="str">
        <f aca="false">IFERROR(__xludf.dummyfunction("filter(Formulas!$C:$C,Formulas!$A:$A=B759)"),"""formula"":[{""sku"":""1007"",""req"":1}]")</f>
        <v>"formula":[{"sku":"1007","req":1}]</v>
      </c>
      <c r="G759" s="0" t="n">
        <f aca="false">IFERROR(__xludf.dummyfunction("""COMPUTED_VALUE"""),1.2)</f>
        <v>1.2</v>
      </c>
      <c r="H759" s="21" t="str">
        <f aca="false">IFERROR(__xludf.dummyfunction("IF(D759,filter(Productos!AC:AC,Productos!A:A=B759),)"),"fabrica")</f>
        <v>fabrica</v>
      </c>
      <c r="I759" s="24" t="str">
        <f aca="false">IFERROR(__xludf.dummyfunction("""COMPUTED_VALUE"""),"")</f>
        <v/>
      </c>
      <c r="K759" s="0" t="e">
        <f aca="false">IF(D759,"{""sku"":"""&amp;B759&amp;""", ""costo"":"&amp;C759&amp;", ""grupo"":"""&amp;A759&amp;""", ""lote"":"&amp;D759&amp;", ""tiempo"":"&amp;E759&amp;", "&amp;F759&amp;", ""vencimiento"":"&amp;G759&amp;IF(I759,", ""precio"":"&amp;I759,)&amp;", ""tipo"":"""&amp;H759&amp;"""},",)</f>
        <v>#VALUE!</v>
      </c>
    </row>
    <row r="760" customFormat="false" ht="13" hidden="false" customHeight="false" outlineLevel="0" collapsed="false">
      <c r="A760" s="16" t="n">
        <v>11</v>
      </c>
      <c r="B760" s="0" t="n">
        <f aca="false">IFERROR(__xludf.dummyfunction("""COMPUTED_VALUE"""),1309)</f>
        <v>1309</v>
      </c>
      <c r="C760" s="24" t="n">
        <f aca="false">IFERROR(__xludf.dummyfunction("""COMPUTED_VALUE"""),50)</f>
        <v>50</v>
      </c>
      <c r="D760" s="0" t="n">
        <f aca="false">IFERROR(__xludf.dummyfunction("""COMPUTED_VALUE"""),11)</f>
        <v>11</v>
      </c>
      <c r="E760" s="0" t="n">
        <f aca="false">IFERROR(__xludf.dummyfunction("""COMPUTED_VALUE"""),50)</f>
        <v>50</v>
      </c>
      <c r="F760" s="0" t="str">
        <f aca="false">IFERROR(__xludf.dummyfunction("filter(Formulas!$C:$C,Formulas!$A:$A=B760)"),"""formula"":[{""sku"":""1009"",""req"":1}]")</f>
        <v>"formula":[{"sku":"1009","req":1}]</v>
      </c>
      <c r="G760" s="0" t="n">
        <f aca="false">IFERROR(__xludf.dummyfunction("""COMPUTED_VALUE"""),1.2)</f>
        <v>1.2</v>
      </c>
      <c r="H760" s="21" t="str">
        <f aca="false">IFERROR(__xludf.dummyfunction("IF(D760,filter(Productos!AC:AC,Productos!A:A=B760),)"),"fabrica")</f>
        <v>fabrica</v>
      </c>
      <c r="I760" s="24" t="str">
        <f aca="false">IFERROR(__xludf.dummyfunction("""COMPUTED_VALUE"""),"")</f>
        <v/>
      </c>
      <c r="K760" s="0" t="e">
        <f aca="false">IF(D760,"{""sku"":"""&amp;B760&amp;""", ""costo"":"&amp;C760&amp;", ""grupo"":"""&amp;A760&amp;""", ""lote"":"&amp;D760&amp;", ""tiempo"":"&amp;E760&amp;", "&amp;F760&amp;", ""vencimiento"":"&amp;G760&amp;IF(I760,", ""precio"":"&amp;I760,)&amp;", ""tipo"":"""&amp;H760&amp;"""},",)</f>
        <v>#VALUE!</v>
      </c>
    </row>
    <row r="761" customFormat="false" ht="13" hidden="false" customHeight="false" outlineLevel="0" collapsed="false">
      <c r="A761" s="17" t="n">
        <v>11</v>
      </c>
      <c r="B761" s="0" t="n">
        <f aca="false">IFERROR(__xludf.dummyfunction("""COMPUTED_VALUE"""),1310)</f>
        <v>1310</v>
      </c>
      <c r="C761" s="24" t="n">
        <f aca="false">IFERROR(__xludf.dummyfunction("""COMPUTED_VALUE"""),10)</f>
        <v>10</v>
      </c>
      <c r="D761" s="0" t="n">
        <f aca="false">IFERROR(__xludf.dummyfunction("""COMPUTED_VALUE"""),12)</f>
        <v>12</v>
      </c>
      <c r="E761" s="0" t="n">
        <f aca="false">IFERROR(__xludf.dummyfunction("""COMPUTED_VALUE"""),10)</f>
        <v>10</v>
      </c>
      <c r="F761" s="0" t="str">
        <f aca="false">IFERROR(__xludf.dummyfunction("filter(Formulas!$C:$C,Formulas!$A:$A=B761)"),"""formula"":[{""sku"":""1010"",""req"":1}]")</f>
        <v>"formula":[{"sku":"1010","req":1}]</v>
      </c>
      <c r="G761" s="0" t="n">
        <f aca="false">IFERROR(__xludf.dummyfunction("""COMPUTED_VALUE"""),2)</f>
        <v>2</v>
      </c>
      <c r="H761" s="21" t="str">
        <f aca="false">IFERROR(__xludf.dummyfunction("IF(D761,filter(Productos!AC:AC,Productos!A:A=B761),)"),"fabrica")</f>
        <v>fabrica</v>
      </c>
      <c r="I761" s="24" t="str">
        <f aca="false">IFERROR(__xludf.dummyfunction("""COMPUTED_VALUE"""),"")</f>
        <v/>
      </c>
      <c r="K761" s="0" t="e">
        <f aca="false">IF(D761,"{""sku"":"""&amp;B761&amp;""", ""costo"":"&amp;C761&amp;", ""grupo"":"""&amp;A761&amp;""", ""lote"":"&amp;D761&amp;", ""tiempo"":"&amp;E761&amp;", "&amp;F761&amp;", ""vencimiento"":"&amp;G761&amp;IF(I761,", ""precio"":"&amp;I761,)&amp;", ""tipo"":"""&amp;H761&amp;"""},",)</f>
        <v>#VALUE!</v>
      </c>
    </row>
    <row r="762" customFormat="false" ht="13" hidden="false" customHeight="false" outlineLevel="0" collapsed="false">
      <c r="A762" s="16" t="n">
        <v>11</v>
      </c>
      <c r="B762" s="0" t="n">
        <f aca="false">IFERROR(__xludf.dummyfunction("""COMPUTED_VALUE"""),1407)</f>
        <v>1407</v>
      </c>
      <c r="C762" s="24" t="n">
        <f aca="false">IFERROR(__xludf.dummyfunction("""COMPUTED_VALUE"""),10)</f>
        <v>10</v>
      </c>
      <c r="D762" s="0" t="n">
        <f aca="false">IFERROR(__xludf.dummyfunction("""COMPUTED_VALUE"""),14)</f>
        <v>14</v>
      </c>
      <c r="E762" s="0" t="n">
        <f aca="false">IFERROR(__xludf.dummyfunction("""COMPUTED_VALUE"""),30)</f>
        <v>30</v>
      </c>
      <c r="F762" s="0" t="str">
        <f aca="false">IFERROR(__xludf.dummyfunction("filter(Formulas!$C:$C,Formulas!$A:$A=B762)"),"""formula"":[{""sku"":""1007"",""req"":1}]")</f>
        <v>"formula":[{"sku":"1007","req":1}]</v>
      </c>
      <c r="G762" s="0" t="n">
        <f aca="false">IFERROR(__xludf.dummyfunction("""COMPUTED_VALUE"""),2)</f>
        <v>2</v>
      </c>
      <c r="H762" s="21" t="str">
        <f aca="false">IFERROR(__xludf.dummyfunction("IF(D762,filter(Productos!AC:AC,Productos!A:A=B762),)"),"fabrica")</f>
        <v>fabrica</v>
      </c>
      <c r="I762" s="24" t="str">
        <f aca="false">IFERROR(__xludf.dummyfunction("""COMPUTED_VALUE"""),"")</f>
        <v/>
      </c>
      <c r="K762" s="0" t="e">
        <f aca="false">IF(D762,"{""sku"":"""&amp;B762&amp;""", ""costo"":"&amp;C762&amp;", ""grupo"":"""&amp;A762&amp;""", ""lote"":"&amp;D762&amp;", ""tiempo"":"&amp;E762&amp;", "&amp;F762&amp;", ""vencimiento"":"&amp;G762&amp;IF(I762,", ""precio"":"&amp;I762,)&amp;", ""tipo"":"""&amp;H762&amp;"""},",)</f>
        <v>#VALUE!</v>
      </c>
    </row>
    <row r="763" customFormat="false" ht="13" hidden="false" customHeight="false" outlineLevel="0" collapsed="false">
      <c r="A763" s="17" t="n">
        <v>11</v>
      </c>
      <c r="B763" s="0" t="n">
        <f aca="false">IFERROR(__xludf.dummyfunction("""COMPUTED_VALUE"""),10001)</f>
        <v>10001</v>
      </c>
      <c r="C763" s="24" t="n">
        <f aca="false">IFERROR(__xludf.dummyfunction("""COMPUTED_VALUE"""),10)</f>
        <v>10</v>
      </c>
      <c r="D763" s="0" t="n">
        <f aca="false">IFERROR(__xludf.dummyfunction("""COMPUTED_VALUE"""),1)</f>
        <v>1</v>
      </c>
      <c r="E763" s="0" t="n">
        <f aca="false">IFERROR(__xludf.dummyfunction("""COMPUTED_VALUE"""),10)</f>
        <v>10</v>
      </c>
      <c r="F763" s="0" t="str">
        <f aca="false">IFERROR(__xludf.dummyfunction("filter(Formulas!$C:$C,Formulas!$A:$A=B763)"),"""formula"":[{""sku"":""1201"",""req"":1},{""sku"":""1105"",""req"":1},{""sku"":""1210"",""req"":1},{""sku"":""1211"",""req"":1},{""sku"":""1116"",""req"":1}]")</f>
        <v>"formula":[{"sku":"1201","req":1},{"sku":"1105","req":1},{"sku":"1210","req":1},{"sku":"1211","req":1},{"sku":"1116","req":1}]</v>
      </c>
      <c r="G763" s="0" t="n">
        <f aca="false">IFERROR(__xludf.dummyfunction("""COMPUTED_VALUE"""),1)</f>
        <v>1</v>
      </c>
      <c r="H763" s="21" t="str">
        <f aca="false">IFERROR(__xludf.dummyfunction("IF(D763,filter(Productos!AC:AC,Productos!A:A=B763),)"),"cocina")</f>
        <v>cocina</v>
      </c>
      <c r="I763" s="24" t="n">
        <f aca="false">IFERROR(__xludf.dummyfunction("""COMPUTED_VALUE"""),4500)</f>
        <v>4500</v>
      </c>
      <c r="K763" s="0" t="str">
        <f aca="false">IF(D763,"{""sku"":"""&amp;B763&amp;""", ""costo"":"&amp;C763&amp;", ""grupo"":"""&amp;A763&amp;""", ""lote"":"&amp;D763&amp;", ""tiempo"":"&amp;E763&amp;", "&amp;F763&amp;", ""vencimiento"":"&amp;G763&amp;IF(I763,", ""precio"":"&amp;I763,)&amp;", ""tipo"":"""&amp;H763&amp;"""},",)</f>
        <v>{"sku":"10001", "costo":10, "grupo":"11", "lote":1, "tiempo":10, "formula":[{"sku":"1201","req":1},{"sku":"1105","req":1},{"sku":"1210","req":1},{"sku":"1211","req":1},{"sku":"1116","req":1}], "vencimiento":1, "precio":4500, "tipo":"cocina"},</v>
      </c>
    </row>
    <row r="764" customFormat="false" ht="13" hidden="false" customHeight="false" outlineLevel="0" collapsed="false">
      <c r="A764" s="16" t="n">
        <v>11</v>
      </c>
      <c r="B764" s="0" t="n">
        <f aca="false">IFERROR(__xludf.dummyfunction("""COMPUTED_VALUE"""),10002)</f>
        <v>10002</v>
      </c>
      <c r="C764" s="24" t="n">
        <f aca="false">IFERROR(__xludf.dummyfunction("""COMPUTED_VALUE"""),10)</f>
        <v>10</v>
      </c>
      <c r="D764" s="0" t="n">
        <f aca="false">IFERROR(__xludf.dummyfunction("""COMPUTED_VALUE"""),1)</f>
        <v>1</v>
      </c>
      <c r="E764" s="0" t="n">
        <f aca="false">IFERROR(__xludf.dummyfunction("""COMPUTED_VALUE"""),20)</f>
        <v>20</v>
      </c>
      <c r="F764" s="0" t="str">
        <f aca="false">IFERROR(__xludf.dummyfunction("filter(Formulas!$C:$C,Formulas!$A:$A=B764)"),"""formula"":[{""sku"":""1201"",""req"":1},{""sku"":""1105"",""req"":1},{""sku"":""1013"",""req"":5},{""sku"":""1210"",""req"":1},{""sku"":""1116"",""req"":1}]")</f>
        <v>"formula":[{"sku":"1201","req":1},{"sku":"1105","req":1},{"sku":"1013","req":5},{"sku":"1210","req":1},{"sku":"1116","req":1}]</v>
      </c>
      <c r="G764" s="0" t="n">
        <f aca="false">IFERROR(__xludf.dummyfunction("""COMPUTED_VALUE"""),1)</f>
        <v>1</v>
      </c>
      <c r="H764" s="21" t="str">
        <f aca="false">IFERROR(__xludf.dummyfunction("IF(D764,filter(Productos!AC:AC,Productos!A:A=B764),)"),"cocina")</f>
        <v>cocina</v>
      </c>
      <c r="I764" s="24" t="n">
        <f aca="false">IFERROR(__xludf.dummyfunction("""COMPUTED_VALUE"""),4500)</f>
        <v>4500</v>
      </c>
      <c r="K764" s="0" t="str">
        <f aca="false">IF(D764,"{""sku"":"""&amp;B764&amp;""", ""costo"":"&amp;C764&amp;", ""grupo"":"""&amp;A764&amp;""", ""lote"":"&amp;D764&amp;", ""tiempo"":"&amp;E764&amp;", "&amp;F764&amp;", ""vencimiento"":"&amp;G764&amp;IF(I764,", ""precio"":"&amp;I764,)&amp;", ""tipo"":"""&amp;H764&amp;"""},",)</f>
        <v>{"sku":"10002", "costo":10, "grupo":"11", "lote":1, "tiempo":20, "formula":[{"sku":"1201","req":1},{"sku":"1105","req":1},{"sku":"1013","req":5},{"sku":"1210","req":1},{"sku":"1116","req":1}], "vencimiento":1, "precio":4500, "tipo":"cocina"},</v>
      </c>
    </row>
    <row r="765" customFormat="false" ht="13" hidden="false" customHeight="false" outlineLevel="0" collapsed="false">
      <c r="A765" s="17" t="n">
        <v>11</v>
      </c>
      <c r="B765" s="0" t="n">
        <f aca="false">IFERROR(__xludf.dummyfunction("""COMPUTED_VALUE"""),10003)</f>
        <v>10003</v>
      </c>
      <c r="C765" s="24" t="n">
        <f aca="false">IFERROR(__xludf.dummyfunction("""COMPUTED_VALUE"""),10)</f>
        <v>10</v>
      </c>
      <c r="D765" s="0" t="n">
        <f aca="false">IFERROR(__xludf.dummyfunction("""COMPUTED_VALUE"""),1)</f>
        <v>1</v>
      </c>
      <c r="E765" s="0" t="n">
        <f aca="false">IFERROR(__xludf.dummyfunction("""COMPUTED_VALUE"""),30)</f>
        <v>30</v>
      </c>
      <c r="F765" s="0" t="str">
        <f aca="false">IFERROR(__xludf.dummyfunction("filter(Formulas!$C:$C,Formulas!$A:$A=B765)"),"""formula"":[{""sku"":""1201"",""req"":1},{""sku"":""1105"",""req"":1},{""sku"":""1013"",""req"":5},{""sku"":""1210"",""req"":1},{""sku"":""1211"",""req"":1},{""sku"":""1116"",""req"":1}]")</f>
        <v>"formula":[{"sku":"1201","req":1},{"sku":"1105","req":1},{"sku":"1013","req":5},{"sku":"1210","req":1},{"sku":"1211","req":1},{"sku":"1116","req":1}]</v>
      </c>
      <c r="G765" s="0" t="n">
        <f aca="false">IFERROR(__xludf.dummyfunction("""COMPUTED_VALUE"""),1)</f>
        <v>1</v>
      </c>
      <c r="H765" s="21" t="str">
        <f aca="false">IFERROR(__xludf.dummyfunction("IF(D765,filter(Productos!AC:AC,Productos!A:A=B765),)"),"cocina")</f>
        <v>cocina</v>
      </c>
      <c r="I765" s="24" t="n">
        <f aca="false">IFERROR(__xludf.dummyfunction("""COMPUTED_VALUE"""),4700)</f>
        <v>4700</v>
      </c>
      <c r="K765" s="0" t="str">
        <f aca="false">IF(D765,"{""sku"":"""&amp;B765&amp;""", ""costo"":"&amp;C765&amp;", ""grupo"":"""&amp;A765&amp;""", ""lote"":"&amp;D765&amp;", ""tiempo"":"&amp;E765&amp;", "&amp;F765&amp;", ""vencimiento"":"&amp;G765&amp;IF(I765,", ""precio"":"&amp;I765,)&amp;", ""tipo"":"""&amp;H765&amp;"""},",)</f>
        <v>{"sku":"10003", "costo":10, "grupo":"11", "lote":1, "tiempo":30, "formula":[{"sku":"1201","req":1},{"sku":"1105","req":1},{"sku":"1013","req":5},{"sku":"1210","req":1},{"sku":"1211","req":1},{"sku":"1116","req":1}], "vencimiento":1, "precio":4700, "tipo":"cocina"},</v>
      </c>
    </row>
    <row r="766" customFormat="false" ht="13" hidden="false" customHeight="false" outlineLevel="0" collapsed="false">
      <c r="A766" s="16" t="n">
        <v>11</v>
      </c>
      <c r="B766" s="0" t="n">
        <f aca="false">IFERROR(__xludf.dummyfunction("""COMPUTED_VALUE"""),10004)</f>
        <v>10004</v>
      </c>
      <c r="C766" s="24" t="n">
        <f aca="false">IFERROR(__xludf.dummyfunction("""COMPUTED_VALUE"""),10)</f>
        <v>10</v>
      </c>
      <c r="D766" s="0" t="n">
        <f aca="false">IFERROR(__xludf.dummyfunction("""COMPUTED_VALUE"""),1)</f>
        <v>1</v>
      </c>
      <c r="E766" s="0" t="n">
        <f aca="false">IFERROR(__xludf.dummyfunction("""COMPUTED_VALUE"""),10)</f>
        <v>10</v>
      </c>
      <c r="F766" s="0" t="str">
        <f aca="false">IFERROR(__xludf.dummyfunction("filter(Formulas!$C:$C,Formulas!$A:$A=B766)"),"""formula"":[{""sku"":""1201"",""req"":1},{""sku"":""1106"",""req"":4},{""sku"":""1210"",""req"":1},{""sku"":""1211"",""req"":1},{""sku"":""1116"",""req"":1}]")</f>
        <v>"formula":[{"sku":"1201","req":1},{"sku":"1106","req":4},{"sku":"1210","req":1},{"sku":"1211","req":1},{"sku":"1116","req":1}]</v>
      </c>
      <c r="G766" s="0" t="n">
        <f aca="false">IFERROR(__xludf.dummyfunction("""COMPUTED_VALUE"""),1)</f>
        <v>1</v>
      </c>
      <c r="H766" s="21" t="str">
        <f aca="false">IFERROR(__xludf.dummyfunction("IF(D766,filter(Productos!AC:AC,Productos!A:A=B766),)"),"cocina")</f>
        <v>cocina</v>
      </c>
      <c r="I766" s="24" t="n">
        <f aca="false">IFERROR(__xludf.dummyfunction("""COMPUTED_VALUE"""),4700)</f>
        <v>4700</v>
      </c>
      <c r="K766" s="0" t="str">
        <f aca="false">IF(D766,"{""sku"":"""&amp;B766&amp;""", ""costo"":"&amp;C766&amp;", ""grupo"":"""&amp;A766&amp;""", ""lote"":"&amp;D766&amp;", ""tiempo"":"&amp;E766&amp;", "&amp;F766&amp;", ""vencimiento"":"&amp;G766&amp;IF(I766,", ""precio"":"&amp;I766,)&amp;", ""tipo"":"""&amp;H766&amp;"""},",)</f>
        <v>{"sku":"10004", "costo":10, "grupo":"11", "lote":1, "tiempo":10, "formula":[{"sku":"1201","req":1},{"sku":"1106","req":4},{"sku":"1210","req":1},{"sku":"1211","req":1},{"sku":"1116","req":1}], "vencimiento":1, "precio":4700, "tipo":"cocina"},</v>
      </c>
    </row>
    <row r="767" customFormat="false" ht="13" hidden="false" customHeight="false" outlineLevel="0" collapsed="false">
      <c r="A767" s="17" t="n">
        <v>11</v>
      </c>
      <c r="B767" s="0" t="n">
        <f aca="false">IFERROR(__xludf.dummyfunction("""COMPUTED_VALUE"""),10005)</f>
        <v>10005</v>
      </c>
      <c r="C767" s="24" t="n">
        <f aca="false">IFERROR(__xludf.dummyfunction("""COMPUTED_VALUE"""),10)</f>
        <v>10</v>
      </c>
      <c r="D767" s="0" t="n">
        <f aca="false">IFERROR(__xludf.dummyfunction("""COMPUTED_VALUE"""),1)</f>
        <v>1</v>
      </c>
      <c r="E767" s="0" t="n">
        <f aca="false">IFERROR(__xludf.dummyfunction("""COMPUTED_VALUE"""),20)</f>
        <v>20</v>
      </c>
      <c r="F767" s="0" t="str">
        <f aca="false">IFERROR(__xludf.dummyfunction("filter(Formulas!$C:$C,Formulas!$A:$A=B767)"),"""formula"":[{""sku"":""1201"",""req"":1},{""sku"":""1106"",""req"":4},{""sku"":""1013"",""req"":5},{""sku"":""1210"",""req"":1},{""sku"":""1116"",""req"":1}]")</f>
        <v>"formula":[{"sku":"1201","req":1},{"sku":"1106","req":4},{"sku":"1013","req":5},{"sku":"1210","req":1},{"sku":"1116","req":1}]</v>
      </c>
      <c r="G767" s="0" t="n">
        <f aca="false">IFERROR(__xludf.dummyfunction("""COMPUTED_VALUE"""),1)</f>
        <v>1</v>
      </c>
      <c r="H767" s="21" t="str">
        <f aca="false">IFERROR(__xludf.dummyfunction("IF(D767,filter(Productos!AC:AC,Productos!A:A=B767),)"),"cocina")</f>
        <v>cocina</v>
      </c>
      <c r="I767" s="24" t="n">
        <f aca="false">IFERROR(__xludf.dummyfunction("""COMPUTED_VALUE"""),4700)</f>
        <v>4700</v>
      </c>
      <c r="K767" s="0" t="str">
        <f aca="false">IF(D767,"{""sku"":"""&amp;B767&amp;""", ""costo"":"&amp;C767&amp;", ""grupo"":"""&amp;A767&amp;""", ""lote"":"&amp;D767&amp;", ""tiempo"":"&amp;E767&amp;", "&amp;F767&amp;", ""vencimiento"":"&amp;G767&amp;IF(I767,", ""precio"":"&amp;I767,)&amp;", ""tipo"":"""&amp;H767&amp;"""},",)</f>
        <v>{"sku":"10005", "costo":10, "grupo":"11", "lote":1, "tiempo":20, "formula":[{"sku":"1201","req":1},{"sku":"1106","req":4},{"sku":"1013","req":5},{"sku":"1210","req":1},{"sku":"1116","req":1}], "vencimiento":1, "precio":4700, "tipo":"cocina"},</v>
      </c>
    </row>
    <row r="768" customFormat="false" ht="13" hidden="false" customHeight="false" outlineLevel="0" collapsed="false">
      <c r="A768" s="16" t="n">
        <v>11</v>
      </c>
      <c r="B768" s="0" t="n">
        <f aca="false">IFERROR(__xludf.dummyfunction("""COMPUTED_VALUE"""),10006)</f>
        <v>10006</v>
      </c>
      <c r="C768" s="24" t="n">
        <f aca="false">IFERROR(__xludf.dummyfunction("""COMPUTED_VALUE"""),10)</f>
        <v>10</v>
      </c>
      <c r="D768" s="0" t="n">
        <f aca="false">IFERROR(__xludf.dummyfunction("""COMPUTED_VALUE"""),1)</f>
        <v>1</v>
      </c>
      <c r="E768" s="0" t="n">
        <f aca="false">IFERROR(__xludf.dummyfunction("""COMPUTED_VALUE"""),10)</f>
        <v>10</v>
      </c>
      <c r="F768" s="0" t="str">
        <f aca="false">IFERROR(__xludf.dummyfunction("filter(Formulas!$C:$C,Formulas!$A:$A=B768)"),"""formula"":[{""sku"":""1201"",""req"":1},{""sku"":""1210"",""req"":1},{""sku"":""1107"",""req"":1},{""sku"":""1211"",""req"":1},{""sku"":""1116"",""req"":1}]")</f>
        <v>"formula":[{"sku":"1201","req":1},{"sku":"1210","req":1},{"sku":"1107","req":1},{"sku":"1211","req":1},{"sku":"1116","req":1}]</v>
      </c>
      <c r="G768" s="0" t="n">
        <f aca="false">IFERROR(__xludf.dummyfunction("""COMPUTED_VALUE"""),1)</f>
        <v>1</v>
      </c>
      <c r="H768" s="21" t="str">
        <f aca="false">IFERROR(__xludf.dummyfunction("IF(D768,filter(Productos!AC:AC,Productos!A:A=B768),)"),"cocina")</f>
        <v>cocina</v>
      </c>
      <c r="I768" s="24" t="n">
        <f aca="false">IFERROR(__xludf.dummyfunction("""COMPUTED_VALUE"""),4900)</f>
        <v>4900</v>
      </c>
      <c r="K768" s="0" t="str">
        <f aca="false">IF(D768,"{""sku"":"""&amp;B768&amp;""", ""costo"":"&amp;C768&amp;", ""grupo"":"""&amp;A768&amp;""", ""lote"":"&amp;D768&amp;", ""tiempo"":"&amp;E768&amp;", "&amp;F768&amp;", ""vencimiento"":"&amp;G768&amp;IF(I768,", ""precio"":"&amp;I768,)&amp;", ""tipo"":"""&amp;H768&amp;"""},",)</f>
        <v>{"sku":"10006", "costo":10, "grupo":"11", "lote":1, "tiempo":10, "formula":[{"sku":"1201","req":1},{"sku":"1210","req":1},{"sku":"1107","req":1},{"sku":"1211","req":1},{"sku":"1116","req":1}], "vencimiento":1, "precio":4900, "tipo":"cocina"},</v>
      </c>
    </row>
    <row r="769" customFormat="false" ht="13" hidden="false" customHeight="false" outlineLevel="0" collapsed="false">
      <c r="A769" s="17" t="n">
        <v>11</v>
      </c>
      <c r="B769" s="0" t="n">
        <f aca="false">IFERROR(__xludf.dummyfunction("""COMPUTED_VALUE"""),10007)</f>
        <v>10007</v>
      </c>
      <c r="C769" s="24" t="n">
        <f aca="false">IFERROR(__xludf.dummyfunction("""COMPUTED_VALUE"""),10)</f>
        <v>10</v>
      </c>
      <c r="D769" s="0" t="n">
        <f aca="false">IFERROR(__xludf.dummyfunction("""COMPUTED_VALUE"""),1)</f>
        <v>1</v>
      </c>
      <c r="E769" s="0" t="n">
        <f aca="false">IFERROR(__xludf.dummyfunction("""COMPUTED_VALUE"""),20)</f>
        <v>20</v>
      </c>
      <c r="F769" s="0" t="str">
        <f aca="false">IFERROR(__xludf.dummyfunction("filter(Formulas!$C:$C,Formulas!$A:$A=B769)"),"""formula"":[{""sku"":""1201"",""req"":1},{""sku"":""1013"",""req"":5},{""sku"":""1210"",""req"":1},{""sku"":""1107"",""req"":1},{""sku"":""1116"",""req"":1}]")</f>
        <v>"formula":[{"sku":"1201","req":1},{"sku":"1013","req":5},{"sku":"1210","req":1},{"sku":"1107","req":1},{"sku":"1116","req":1}]</v>
      </c>
      <c r="G769" s="0" t="n">
        <f aca="false">IFERROR(__xludf.dummyfunction("""COMPUTED_VALUE"""),1)</f>
        <v>1</v>
      </c>
      <c r="H769" s="21" t="str">
        <f aca="false">IFERROR(__xludf.dummyfunction("IF(D769,filter(Productos!AC:AC,Productos!A:A=B769),)"),"cocina")</f>
        <v>cocina</v>
      </c>
      <c r="I769" s="24" t="n">
        <f aca="false">IFERROR(__xludf.dummyfunction("""COMPUTED_VALUE"""),4900)</f>
        <v>4900</v>
      </c>
      <c r="K769" s="0" t="str">
        <f aca="false">IF(D769,"{""sku"":"""&amp;B769&amp;""", ""costo"":"&amp;C769&amp;", ""grupo"":"""&amp;A769&amp;""", ""lote"":"&amp;D769&amp;", ""tiempo"":"&amp;E769&amp;", "&amp;F769&amp;", ""vencimiento"":"&amp;G769&amp;IF(I769,", ""precio"":"&amp;I769,)&amp;", ""tipo"":"""&amp;H769&amp;"""},",)</f>
        <v>{"sku":"10007", "costo":10, "grupo":"11", "lote":1, "tiempo":20, "formula":[{"sku":"1201","req":1},{"sku":"1013","req":5},{"sku":"1210","req":1},{"sku":"1107","req":1},{"sku":"1116","req":1}], "vencimiento":1, "precio":4900, "tipo":"cocina"},</v>
      </c>
    </row>
    <row r="770" customFormat="false" ht="13" hidden="false" customHeight="false" outlineLevel="0" collapsed="false">
      <c r="A770" s="16" t="n">
        <v>11</v>
      </c>
      <c r="B770" s="0" t="n">
        <f aca="false">IFERROR(__xludf.dummyfunction("""COMPUTED_VALUE"""),10008)</f>
        <v>10008</v>
      </c>
      <c r="C770" s="24" t="n">
        <f aca="false">IFERROR(__xludf.dummyfunction("""COMPUTED_VALUE"""),10)</f>
        <v>10</v>
      </c>
      <c r="D770" s="0" t="n">
        <f aca="false">IFERROR(__xludf.dummyfunction("""COMPUTED_VALUE"""),1)</f>
        <v>1</v>
      </c>
      <c r="E770" s="0" t="n">
        <f aca="false">IFERROR(__xludf.dummyfunction("""COMPUTED_VALUE"""),20)</f>
        <v>20</v>
      </c>
      <c r="F770" s="0" t="str">
        <f aca="false">IFERROR(__xludf.dummyfunction("filter(Formulas!$C:$C,Formulas!$A:$A=B770)"),"""formula"":[{""sku"":""1201"",""req"":1},{""sku"":""1109"",""req"":1},{""sku"":""1210"",""req"":1},{""sku"":""1211"",""req"":1},{""sku"":""1116"",""req"":1}]")</f>
        <v>"formula":[{"sku":"1201","req":1},{"sku":"1109","req":1},{"sku":"1210","req":1},{"sku":"1211","req":1},{"sku":"1116","req":1}]</v>
      </c>
      <c r="G770" s="0" t="n">
        <f aca="false">IFERROR(__xludf.dummyfunction("""COMPUTED_VALUE"""),1)</f>
        <v>1</v>
      </c>
      <c r="H770" s="21" t="str">
        <f aca="false">IFERROR(__xludf.dummyfunction("IF(D770,filter(Productos!AC:AC,Productos!A:A=B770),)"),"cocina")</f>
        <v>cocina</v>
      </c>
      <c r="I770" s="24" t="n">
        <f aca="false">IFERROR(__xludf.dummyfunction("""COMPUTED_VALUE"""),4900)</f>
        <v>4900</v>
      </c>
      <c r="K770" s="0" t="str">
        <f aca="false">IF(D770,"{""sku"":"""&amp;B770&amp;""", ""costo"":"&amp;C770&amp;", ""grupo"":"""&amp;A770&amp;""", ""lote"":"&amp;D770&amp;", ""tiempo"":"&amp;E770&amp;", "&amp;F770&amp;", ""vencimiento"":"&amp;G770&amp;IF(I770,", ""precio"":"&amp;I770,)&amp;", ""tipo"":"""&amp;H770&amp;"""},",)</f>
        <v>{"sku":"10008", "costo":10, "grupo":"11", "lote":1, "tiempo":20, "formula":[{"sku":"1201","req":1},{"sku":"1109","req":1},{"sku":"1210","req":1},{"sku":"1211","req":1},{"sku":"1116","req":1}], "vencimiento":1, "precio":4900, "tipo":"cocina"},</v>
      </c>
    </row>
    <row r="771" customFormat="false" ht="13" hidden="false" customHeight="false" outlineLevel="0" collapsed="false">
      <c r="A771" s="17" t="n">
        <v>11</v>
      </c>
      <c r="B771" s="0" t="n">
        <f aca="false">IFERROR(__xludf.dummyfunction("""COMPUTED_VALUE"""),10009)</f>
        <v>10009</v>
      </c>
      <c r="C771" s="24" t="n">
        <f aca="false">IFERROR(__xludf.dummyfunction("""COMPUTED_VALUE"""),10)</f>
        <v>10</v>
      </c>
      <c r="D771" s="0" t="n">
        <f aca="false">IFERROR(__xludf.dummyfunction("""COMPUTED_VALUE"""),1)</f>
        <v>1</v>
      </c>
      <c r="E771" s="0" t="n">
        <f aca="false">IFERROR(__xludf.dummyfunction("""COMPUTED_VALUE"""),30)</f>
        <v>30</v>
      </c>
      <c r="F771" s="0" t="str">
        <f aca="false">IFERROR(__xludf.dummyfunction("filter(Formulas!$C:$C,Formulas!$A:$A=B771)"),"""formula"":[{""sku"":""1201"",""req"":1},{""sku"":""1109"",""req"":1},{""sku"":""1013"",""req"":5},{""sku"":""1210"",""req"":1},{""sku"":""1116"",""req"":1}]")</f>
        <v>"formula":[{"sku":"1201","req":1},{"sku":"1109","req":1},{"sku":"1013","req":5},{"sku":"1210","req":1},{"sku":"1116","req":1}]</v>
      </c>
      <c r="G771" s="0" t="n">
        <f aca="false">IFERROR(__xludf.dummyfunction("""COMPUTED_VALUE"""),1)</f>
        <v>1</v>
      </c>
      <c r="H771" s="21" t="str">
        <f aca="false">IFERROR(__xludf.dummyfunction("IF(D771,filter(Productos!AC:AC,Productos!A:A=B771),)"),"cocina")</f>
        <v>cocina</v>
      </c>
      <c r="I771" s="24" t="n">
        <f aca="false">IFERROR(__xludf.dummyfunction("""COMPUTED_VALUE"""),4900)</f>
        <v>4900</v>
      </c>
      <c r="K771" s="0" t="str">
        <f aca="false">IF(D771,"{""sku"":"""&amp;B771&amp;""", ""costo"":"&amp;C771&amp;", ""grupo"":"""&amp;A771&amp;""", ""lote"":"&amp;D771&amp;", ""tiempo"":"&amp;E771&amp;", "&amp;F771&amp;", ""vencimiento"":"&amp;G771&amp;IF(I771,", ""precio"":"&amp;I771,)&amp;", ""tipo"":"""&amp;H771&amp;"""},",)</f>
        <v>{"sku":"10009", "costo":10, "grupo":"11", "lote":1, "tiempo":30, "formula":[{"sku":"1201","req":1},{"sku":"1109","req":1},{"sku":"1013","req":5},{"sku":"1210","req":1},{"sku":"1116","req":1}], "vencimiento":1, "precio":4900, "tipo":"cocina"},</v>
      </c>
    </row>
    <row r="772" customFormat="false" ht="13" hidden="false" customHeight="false" outlineLevel="0" collapsed="false">
      <c r="A772" s="16" t="n">
        <v>11</v>
      </c>
      <c r="B772" s="0" t="n">
        <f aca="false">IFERROR(__xludf.dummyfunction("""COMPUTED_VALUE"""),10010)</f>
        <v>10010</v>
      </c>
      <c r="C772" s="24" t="n">
        <f aca="false">IFERROR(__xludf.dummyfunction("""COMPUTED_VALUE"""),10)</f>
        <v>10</v>
      </c>
      <c r="D772" s="0" t="n">
        <f aca="false">IFERROR(__xludf.dummyfunction("""COMPUTED_VALUE"""),1)</f>
        <v>1</v>
      </c>
      <c r="E772" s="0" t="n">
        <f aca="false">IFERROR(__xludf.dummyfunction("""COMPUTED_VALUE"""),10)</f>
        <v>10</v>
      </c>
      <c r="F772" s="0" t="str">
        <f aca="false">IFERROR(__xludf.dummyfunction("filter(Formulas!$C:$C,Formulas!$A:$A=B772)"),"""formula"":[{""sku"":""1201"",""req"":1},{""sku"":""1106"",""req"":4},{""sku"":""1210"",""req"":1},{""sku"":""1110"",""req"":1},{""sku"":""1116"",""req"":1}]")</f>
        <v>"formula":[{"sku":"1201","req":1},{"sku":"1106","req":4},{"sku":"1210","req":1},{"sku":"1110","req":1},{"sku":"1116","req":1}]</v>
      </c>
      <c r="G772" s="0" t="n">
        <f aca="false">IFERROR(__xludf.dummyfunction("""COMPUTED_VALUE"""),1)</f>
        <v>1</v>
      </c>
      <c r="H772" s="21" t="str">
        <f aca="false">IFERROR(__xludf.dummyfunction("IF(D772,filter(Productos!AC:AC,Productos!A:A=B772),)"),"cocina")</f>
        <v>cocina</v>
      </c>
      <c r="I772" s="24" t="n">
        <f aca="false">IFERROR(__xludf.dummyfunction("""COMPUTED_VALUE"""),4900)</f>
        <v>4900</v>
      </c>
      <c r="K772" s="0" t="str">
        <f aca="false">IF(D772,"{""sku"":"""&amp;B772&amp;""", ""costo"":"&amp;C772&amp;", ""grupo"":"""&amp;A772&amp;""", ""lote"":"&amp;D772&amp;", ""tiempo"":"&amp;E772&amp;", "&amp;F772&amp;", ""vencimiento"":"&amp;G772&amp;IF(I772,", ""precio"":"&amp;I772,)&amp;", ""tipo"":"""&amp;H772&amp;"""},",)</f>
        <v>{"sku":"10010", "costo":10, "grupo":"11", "lote":1, "tiempo":10, "formula":[{"sku":"1201","req":1},{"sku":"1106","req":4},{"sku":"1210","req":1},{"sku":"1110","req":1},{"sku":"1116","req":1}], "vencimiento":1, "precio":4900, "tipo":"cocina"},</v>
      </c>
    </row>
    <row r="773" customFormat="false" ht="13" hidden="false" customHeight="false" outlineLevel="0" collapsed="false">
      <c r="A773" s="17" t="n">
        <v>11</v>
      </c>
      <c r="B773" s="0" t="n">
        <f aca="false">IFERROR(__xludf.dummyfunction("""COMPUTED_VALUE"""),10011)</f>
        <v>10011</v>
      </c>
      <c r="C773" s="24" t="n">
        <f aca="false">IFERROR(__xludf.dummyfunction("""COMPUTED_VALUE"""),10)</f>
        <v>10</v>
      </c>
      <c r="D773" s="0" t="n">
        <f aca="false">IFERROR(__xludf.dummyfunction("""COMPUTED_VALUE"""),1)</f>
        <v>1</v>
      </c>
      <c r="E773" s="0" t="n">
        <f aca="false">IFERROR(__xludf.dummyfunction("""COMPUTED_VALUE"""),20)</f>
        <v>20</v>
      </c>
      <c r="F773" s="0" t="str">
        <f aca="false">IFERROR(__xludf.dummyfunction("filter(Formulas!$C:$C,Formulas!$A:$A=B773)"),"""formula"":[{""sku"":""1201"",""req"":1},{""sku"":""1106"",""req"":4},{""sku"":""1114"",""req"":1},{""sku"":""1110"",""req"":1},{""sku"":""1112"",""req"":1},{""sku"":""1116"",""req"":1}]")</f>
        <v>"formula":[{"sku":"1201","req":1},{"sku":"1106","req":4},{"sku":"1114","req":1},{"sku":"1110","req":1},{"sku":"1112","req":1},{"sku":"1116","req":1}]</v>
      </c>
      <c r="G773" s="0" t="n">
        <f aca="false">IFERROR(__xludf.dummyfunction("""COMPUTED_VALUE"""),1)</f>
        <v>1</v>
      </c>
      <c r="H773" s="21" t="str">
        <f aca="false">IFERROR(__xludf.dummyfunction("IF(D773,filter(Productos!AC:AC,Productos!A:A=B773),)"),"cocina")</f>
        <v>cocina</v>
      </c>
      <c r="I773" s="24" t="n">
        <f aca="false">IFERROR(__xludf.dummyfunction("""COMPUTED_VALUE"""),5700)</f>
        <v>5700</v>
      </c>
      <c r="K773" s="0" t="str">
        <f aca="false">IF(D773,"{""sku"":"""&amp;B773&amp;""", ""costo"":"&amp;C773&amp;", ""grupo"":"""&amp;A773&amp;""", ""lote"":"&amp;D773&amp;", ""tiempo"":"&amp;E773&amp;", "&amp;F773&amp;", ""vencimiento"":"&amp;G773&amp;IF(I773,", ""precio"":"&amp;I773,)&amp;", ""tipo"":"""&amp;H773&amp;"""},",)</f>
        <v>{"sku":"10011", "costo":10, "grupo":"11", "lote":1, "tiempo":20, "formula":[{"sku":"1201","req":1},{"sku":"1106","req":4},{"sku":"1114","req":1},{"sku":"1110","req":1},{"sku":"1112","req":1},{"sku":"1116","req":1}], "vencimiento":1, "precio":5700, "tipo":"cocina"},</v>
      </c>
    </row>
    <row r="774" customFormat="false" ht="13" hidden="false" customHeight="false" outlineLevel="0" collapsed="false">
      <c r="A774" s="16" t="n">
        <v>11</v>
      </c>
      <c r="B774" s="0" t="n">
        <f aca="false">IFERROR(__xludf.dummyfunction("""COMPUTED_VALUE"""),10012)</f>
        <v>10012</v>
      </c>
      <c r="C774" s="24" t="n">
        <f aca="false">IFERROR(__xludf.dummyfunction("""COMPUTED_VALUE"""),10)</f>
        <v>10</v>
      </c>
      <c r="D774" s="0" t="n">
        <f aca="false">IFERROR(__xludf.dummyfunction("""COMPUTED_VALUE"""),1)</f>
        <v>1</v>
      </c>
      <c r="E774" s="0" t="n">
        <f aca="false">IFERROR(__xludf.dummyfunction("""COMPUTED_VALUE"""),20)</f>
        <v>20</v>
      </c>
      <c r="F774" s="0" t="str">
        <f aca="false">IFERROR(__xludf.dummyfunction("filter(Formulas!$C:$C,Formulas!$A:$A=B774)"),"""formula"":[{""sku"":""1201"",""req"":1},{""sku"":""1106"",""req"":4},{""sku"":""1110"",""req"":1},{""sku"":""1112"",""req"":1},{""sku"":""1108"",""req"":1},{""sku"":""1116"",""req"":1}]")</f>
        <v>"formula":[{"sku":"1201","req":1},{"sku":"1106","req":4},{"sku":"1110","req":1},{"sku":"1112","req":1},{"sku":"1108","req":1},{"sku":"1116","req":1}]</v>
      </c>
      <c r="G774" s="0" t="n">
        <f aca="false">IFERROR(__xludf.dummyfunction("""COMPUTED_VALUE"""),1)</f>
        <v>1</v>
      </c>
      <c r="H774" s="21" t="str">
        <f aca="false">IFERROR(__xludf.dummyfunction("IF(D774,filter(Productos!AC:AC,Productos!A:A=B774),)"),"cocina")</f>
        <v>cocina</v>
      </c>
      <c r="I774" s="24" t="n">
        <f aca="false">IFERROR(__xludf.dummyfunction("""COMPUTED_VALUE"""),5700)</f>
        <v>5700</v>
      </c>
      <c r="K774" s="0" t="str">
        <f aca="false">IF(D774,"{""sku"":"""&amp;B774&amp;""", ""costo"":"&amp;C774&amp;", ""grupo"":"""&amp;A774&amp;""", ""lote"":"&amp;D774&amp;", ""tiempo"":"&amp;E774&amp;", "&amp;F774&amp;", ""vencimiento"":"&amp;G774&amp;IF(I774,", ""precio"":"&amp;I774,)&amp;", ""tipo"":"""&amp;H774&amp;"""},",)</f>
        <v>{"sku":"10012", "costo":10, "grupo":"11", "lote":1, "tiempo":20, "formula":[{"sku":"1201","req":1},{"sku":"1106","req":4},{"sku":"1110","req":1},{"sku":"1112","req":1},{"sku":"1108","req":1},{"sku":"1116","req":1}], "vencimiento":1, "precio":5700, "tipo":"cocina"},</v>
      </c>
    </row>
    <row r="775" customFormat="false" ht="13" hidden="false" customHeight="false" outlineLevel="0" collapsed="false">
      <c r="A775" s="17" t="n">
        <v>11</v>
      </c>
      <c r="B775" s="0" t="n">
        <f aca="false">IFERROR(__xludf.dummyfunction("""COMPUTED_VALUE"""),10013)</f>
        <v>10013</v>
      </c>
      <c r="C775" s="24" t="n">
        <f aca="false">IFERROR(__xludf.dummyfunction("""COMPUTED_VALUE"""),10)</f>
        <v>10</v>
      </c>
      <c r="D775" s="0" t="n">
        <f aca="false">IFERROR(__xludf.dummyfunction("""COMPUTED_VALUE"""),1)</f>
        <v>1</v>
      </c>
      <c r="E775" s="0" t="n">
        <f aca="false">IFERROR(__xludf.dummyfunction("""COMPUTED_VALUE"""),10)</f>
        <v>10</v>
      </c>
      <c r="F775" s="0" t="str">
        <f aca="false">IFERROR(__xludf.dummyfunction("filter(Formulas!$C:$C,Formulas!$A:$A=B775)"),"""formula"":[{""sku"":""1201"",""req"":1},{""sku"":""1106"",""req"":4},{""sku"":""1110"",""req"":1},{""sku"":""1112"",""req"":1},{""sku"":""1116"",""req"":1}]")</f>
        <v>"formula":[{"sku":"1201","req":1},{"sku":"1106","req":4},{"sku":"1110","req":1},{"sku":"1112","req":1},{"sku":"1116","req":1}]</v>
      </c>
      <c r="G775" s="0" t="n">
        <f aca="false">IFERROR(__xludf.dummyfunction("""COMPUTED_VALUE"""),1)</f>
        <v>1</v>
      </c>
      <c r="H775" s="21" t="str">
        <f aca="false">IFERROR(__xludf.dummyfunction("IF(D775,filter(Productos!AC:AC,Productos!A:A=B775),)"),"cocina")</f>
        <v>cocina</v>
      </c>
      <c r="I775" s="24" t="n">
        <f aca="false">IFERROR(__xludf.dummyfunction("""COMPUTED_VALUE"""),5700)</f>
        <v>5700</v>
      </c>
      <c r="K775" s="0" t="str">
        <f aca="false">IF(D775,"{""sku"":"""&amp;B775&amp;""", ""costo"":"&amp;C775&amp;", ""grupo"":"""&amp;A775&amp;""", ""lote"":"&amp;D775&amp;", ""tiempo"":"&amp;E775&amp;", "&amp;F775&amp;", ""vencimiento"":"&amp;G775&amp;IF(I775,", ""precio"":"&amp;I775,)&amp;", ""tipo"":"""&amp;H775&amp;"""},",)</f>
        <v>{"sku":"10013", "costo":10, "grupo":"11", "lote":1, "tiempo":10, "formula":[{"sku":"1201","req":1},{"sku":"1106","req":4},{"sku":"1110","req":1},{"sku":"1112","req":1},{"sku":"1116","req":1}], "vencimiento":1, "precio":5700, "tipo":"cocina"},</v>
      </c>
    </row>
    <row r="776" customFormat="false" ht="13" hidden="false" customHeight="false" outlineLevel="0" collapsed="false">
      <c r="A776" s="16" t="n">
        <v>11</v>
      </c>
      <c r="B776" s="0" t="n">
        <f aca="false">IFERROR(__xludf.dummyfunction("""COMPUTED_VALUE"""),10014)</f>
        <v>10014</v>
      </c>
      <c r="C776" s="24" t="n">
        <f aca="false">IFERROR(__xludf.dummyfunction("""COMPUTED_VALUE"""),10)</f>
        <v>10</v>
      </c>
      <c r="D776" s="0" t="n">
        <f aca="false">IFERROR(__xludf.dummyfunction("""COMPUTED_VALUE"""),1)</f>
        <v>1</v>
      </c>
      <c r="E776" s="0" t="n">
        <f aca="false">IFERROR(__xludf.dummyfunction("""COMPUTED_VALUE"""),10)</f>
        <v>10</v>
      </c>
      <c r="F776" s="0" t="str">
        <f aca="false">IFERROR(__xludf.dummyfunction("filter(Formulas!$C:$C,Formulas!$A:$A=B776)"),"""formula"":[{""sku"":""1201"",""req"":1},{""sku"":""1105"",""req"":1},{""sku"":""1110"",""req"":1},{""sku"":""1112"",""req"":1},{""sku"":""1116"",""req"":1}]")</f>
        <v>"formula":[{"sku":"1201","req":1},{"sku":"1105","req":1},{"sku":"1110","req":1},{"sku":"1112","req":1},{"sku":"1116","req":1}]</v>
      </c>
      <c r="G776" s="0" t="n">
        <f aca="false">IFERROR(__xludf.dummyfunction("""COMPUTED_VALUE"""),1)</f>
        <v>1</v>
      </c>
      <c r="H776" s="21" t="str">
        <f aca="false">IFERROR(__xludf.dummyfunction("IF(D776,filter(Productos!AC:AC,Productos!A:A=B776),)"),"cocina")</f>
        <v>cocina</v>
      </c>
      <c r="I776" s="24" t="n">
        <f aca="false">IFERROR(__xludf.dummyfunction("""COMPUTED_VALUE"""),4900)</f>
        <v>4900</v>
      </c>
      <c r="K776" s="0" t="str">
        <f aca="false">IF(D776,"{""sku"":"""&amp;B776&amp;""", ""costo"":"&amp;C776&amp;", ""grupo"":"""&amp;A776&amp;""", ""lote"":"&amp;D776&amp;", ""tiempo"":"&amp;E776&amp;", "&amp;F776&amp;", ""vencimiento"":"&amp;G776&amp;IF(I776,", ""precio"":"&amp;I776,)&amp;", ""tipo"":"""&amp;H776&amp;"""},",)</f>
        <v>{"sku":"10014", "costo":10, "grupo":"11", "lote":1, "tiempo":10, "formula":[{"sku":"1201","req":1},{"sku":"1105","req":1},{"sku":"1110","req":1},{"sku":"1112","req":1},{"sku":"1116","req":1}], "vencimiento":1, "precio":4900, "tipo":"cocina"},</v>
      </c>
    </row>
    <row r="777" customFormat="false" ht="13" hidden="false" customHeight="false" outlineLevel="0" collapsed="false">
      <c r="A777" s="17" t="n">
        <v>11</v>
      </c>
      <c r="B777" s="0" t="n">
        <f aca="false">IFERROR(__xludf.dummyfunction("""COMPUTED_VALUE"""),10015)</f>
        <v>10015</v>
      </c>
      <c r="C777" s="24" t="n">
        <f aca="false">IFERROR(__xludf.dummyfunction("""COMPUTED_VALUE"""),10)</f>
        <v>10</v>
      </c>
      <c r="D777" s="0" t="n">
        <f aca="false">IFERROR(__xludf.dummyfunction("""COMPUTED_VALUE"""),1)</f>
        <v>1</v>
      </c>
      <c r="E777" s="0" t="n">
        <f aca="false">IFERROR(__xludf.dummyfunction("""COMPUTED_VALUE"""),20)</f>
        <v>20</v>
      </c>
      <c r="F777" s="0" t="str">
        <f aca="false">IFERROR(__xludf.dummyfunction("filter(Formulas!$C:$C,Formulas!$A:$A=B777)"),"""formula"":[{""sku"":""1201"",""req"":1},{""sku"":""1109"",""req"":1},{""sku"":""1115"",""req"":1},{""sku"":""1110"",""req"":1},{""sku"":""1112"",""req"":1},{""sku"":""1116"",""req"":1}]")</f>
        <v>"formula":[{"sku":"1201","req":1},{"sku":"1109","req":1},{"sku":"1115","req":1},{"sku":"1110","req":1},{"sku":"1112","req":1},{"sku":"1116","req":1}]</v>
      </c>
      <c r="G777" s="0" t="n">
        <f aca="false">IFERROR(__xludf.dummyfunction("""COMPUTED_VALUE"""),1)</f>
        <v>1</v>
      </c>
      <c r="H777" s="21" t="str">
        <f aca="false">IFERROR(__xludf.dummyfunction("IF(D777,filter(Productos!AC:AC,Productos!A:A=B777),)"),"cocina")</f>
        <v>cocina</v>
      </c>
      <c r="I777" s="24" t="n">
        <f aca="false">IFERROR(__xludf.dummyfunction("""COMPUTED_VALUE"""),5700)</f>
        <v>5700</v>
      </c>
      <c r="K777" s="0" t="str">
        <f aca="false">IF(D777,"{""sku"":"""&amp;B777&amp;""", ""costo"":"&amp;C777&amp;", ""grupo"":"""&amp;A777&amp;""", ""lote"":"&amp;D777&amp;", ""tiempo"":"&amp;E777&amp;", "&amp;F777&amp;", ""vencimiento"":"&amp;G777&amp;IF(I777,", ""precio"":"&amp;I777,)&amp;", ""tipo"":"""&amp;H777&amp;"""},",)</f>
        <v>{"sku":"10015", "costo":10, "grupo":"11", "lote":1, "tiempo":20, "formula":[{"sku":"1201","req":1},{"sku":"1109","req":1},{"sku":"1115","req":1},{"sku":"1110","req":1},{"sku":"1112","req":1},{"sku":"1116","req":1}], "vencimiento":1, "precio":5700, "tipo":"cocina"},</v>
      </c>
    </row>
    <row r="778" customFormat="false" ht="13" hidden="false" customHeight="false" outlineLevel="0" collapsed="false">
      <c r="A778" s="16" t="n">
        <v>11</v>
      </c>
      <c r="B778" s="0" t="n">
        <f aca="false">IFERROR(__xludf.dummyfunction("""COMPUTED_VALUE"""),10016)</f>
        <v>10016</v>
      </c>
      <c r="C778" s="24" t="n">
        <f aca="false">IFERROR(__xludf.dummyfunction("""COMPUTED_VALUE"""),10)</f>
        <v>10</v>
      </c>
      <c r="D778" s="0" t="n">
        <f aca="false">IFERROR(__xludf.dummyfunction("""COMPUTED_VALUE"""),1)</f>
        <v>1</v>
      </c>
      <c r="E778" s="0" t="n">
        <f aca="false">IFERROR(__xludf.dummyfunction("""COMPUTED_VALUE"""),20)</f>
        <v>20</v>
      </c>
      <c r="F778" s="0" t="str">
        <f aca="false">IFERROR(__xludf.dummyfunction("filter(Formulas!$C:$C,Formulas!$A:$A=B778)"),"""formula"":[{""sku"":""1201"",""req"":1},{""sku"":""1106"",""req"":4},{""sku"":""1110"",""req"":1},{""sku"":""1112"",""req"":1},{""sku"":""1107"",""req"":1},{""sku"":""1116"",""req"":1}]")</f>
        <v>"formula":[{"sku":"1201","req":1},{"sku":"1106","req":4},{"sku":"1110","req":1},{"sku":"1112","req":1},{"sku":"1107","req":1},{"sku":"1116","req":1}]</v>
      </c>
      <c r="G778" s="0" t="n">
        <f aca="false">IFERROR(__xludf.dummyfunction("""COMPUTED_VALUE"""),1)</f>
        <v>1</v>
      </c>
      <c r="H778" s="21" t="str">
        <f aca="false">IFERROR(__xludf.dummyfunction("IF(D778,filter(Productos!AC:AC,Productos!A:A=B778),)"),"cocina")</f>
        <v>cocina</v>
      </c>
      <c r="I778" s="24" t="n">
        <f aca="false">IFERROR(__xludf.dummyfunction("""COMPUTED_VALUE"""),5700)</f>
        <v>5700</v>
      </c>
      <c r="K778" s="0" t="str">
        <f aca="false">IF(D778,"{""sku"":"""&amp;B778&amp;""", ""costo"":"&amp;C778&amp;", ""grupo"":"""&amp;A778&amp;""", ""lote"":"&amp;D778&amp;", ""tiempo"":"&amp;E778&amp;", "&amp;F778&amp;", ""vencimiento"":"&amp;G778&amp;IF(I778,", ""precio"":"&amp;I778,)&amp;", ""tipo"":"""&amp;H778&amp;"""},",)</f>
        <v>{"sku":"10016", "costo":10, "grupo":"11", "lote":1, "tiempo":20, "formula":[{"sku":"1201","req":1},{"sku":"1106","req":4},{"sku":"1110","req":1},{"sku":"1112","req":1},{"sku":"1107","req":1},{"sku":"1116","req":1}], "vencimiento":1, "precio":5700, "tipo":"cocina"},</v>
      </c>
    </row>
    <row r="779" customFormat="false" ht="13" hidden="false" customHeight="false" outlineLevel="0" collapsed="false">
      <c r="A779" s="17" t="n">
        <v>11</v>
      </c>
      <c r="B779" s="0" t="n">
        <f aca="false">IFERROR(__xludf.dummyfunction("""COMPUTED_VALUE"""),10017)</f>
        <v>10017</v>
      </c>
      <c r="C779" s="24" t="n">
        <f aca="false">IFERROR(__xludf.dummyfunction("""COMPUTED_VALUE"""),10)</f>
        <v>10</v>
      </c>
      <c r="D779" s="0" t="n">
        <f aca="false">IFERROR(__xludf.dummyfunction("""COMPUTED_VALUE"""),1)</f>
        <v>1</v>
      </c>
      <c r="E779" s="0" t="n">
        <f aca="false">IFERROR(__xludf.dummyfunction("""COMPUTED_VALUE"""),10)</f>
        <v>10</v>
      </c>
      <c r="F779" s="0" t="str">
        <f aca="false">IFERROR(__xludf.dummyfunction("filter(Formulas!$C:$C,Formulas!$A:$A=B779)"),"""formula"":[{""sku"":""1201"",""req"":1},{""sku"":""1110"",""req"":1},{""sku"":""1112"",""req"":1},{""sku"":""1107"",""req"":1},{""sku"":""1116"",""req"":1}]")</f>
        <v>"formula":[{"sku":"1201","req":1},{"sku":"1110","req":1},{"sku":"1112","req":1},{"sku":"1107","req":1},{"sku":"1116","req":1}]</v>
      </c>
      <c r="G779" s="0" t="n">
        <f aca="false">IFERROR(__xludf.dummyfunction("""COMPUTED_VALUE"""),1)</f>
        <v>1</v>
      </c>
      <c r="H779" s="21" t="str">
        <f aca="false">IFERROR(__xludf.dummyfunction("IF(D779,filter(Productos!AC:AC,Productos!A:A=B779),)"),"cocina")</f>
        <v>cocina</v>
      </c>
      <c r="I779" s="24" t="n">
        <f aca="false">IFERROR(__xludf.dummyfunction("""COMPUTED_VALUE"""),5700)</f>
        <v>5700</v>
      </c>
      <c r="K779" s="0" t="str">
        <f aca="false">IF(D779,"{""sku"":"""&amp;B779&amp;""", ""costo"":"&amp;C779&amp;", ""grupo"":"""&amp;A779&amp;""", ""lote"":"&amp;D779&amp;", ""tiempo"":"&amp;E779&amp;", "&amp;F779&amp;", ""vencimiento"":"&amp;G779&amp;IF(I779,", ""precio"":"&amp;I779,)&amp;", ""tipo"":"""&amp;H779&amp;"""},",)</f>
        <v>{"sku":"10017", "costo":10, "grupo":"11", "lote":1, "tiempo":10, "formula":[{"sku":"1201","req":1},{"sku":"1110","req":1},{"sku":"1112","req":1},{"sku":"1107","req":1},{"sku":"1116","req":1}], "vencimiento":1, "precio":5700, "tipo":"cocina"},</v>
      </c>
    </row>
    <row r="780" customFormat="false" ht="13" hidden="false" customHeight="false" outlineLevel="0" collapsed="false">
      <c r="A780" s="16" t="n">
        <v>11</v>
      </c>
      <c r="B780" s="0" t="n">
        <f aca="false">IFERROR(__xludf.dummyfunction("""COMPUTED_VALUE"""),10018)</f>
        <v>10018</v>
      </c>
      <c r="C780" s="24" t="n">
        <f aca="false">IFERROR(__xludf.dummyfunction("""COMPUTED_VALUE"""),10)</f>
        <v>10</v>
      </c>
      <c r="D780" s="0" t="n">
        <f aca="false">IFERROR(__xludf.dummyfunction("""COMPUTED_VALUE"""),1)</f>
        <v>1</v>
      </c>
      <c r="E780" s="0" t="n">
        <f aca="false">IFERROR(__xludf.dummyfunction("""COMPUTED_VALUE"""),10)</f>
        <v>10</v>
      </c>
      <c r="F780" s="0" t="str">
        <f aca="false">IFERROR(__xludf.dummyfunction("filter(Formulas!$C:$C,Formulas!$A:$A=B780)"),"""formula"":[{""sku"":""1201"",""req"":1},{""sku"":""1105"",""req"":1},{""sku"":""1112"",""req"":1},{""sku"":""1407"",""req"":1},{""sku"":""1116"",""req"":1}]")</f>
        <v>"formula":[{"sku":"1201","req":1},{"sku":"1105","req":1},{"sku":"1112","req":1},{"sku":"1407","req":1},{"sku":"1116","req":1}]</v>
      </c>
      <c r="G780" s="0" t="n">
        <f aca="false">IFERROR(__xludf.dummyfunction("""COMPUTED_VALUE"""),1)</f>
        <v>1</v>
      </c>
      <c r="H780" s="21" t="str">
        <f aca="false">IFERROR(__xludf.dummyfunction("IF(D780,filter(Productos!AC:AC,Productos!A:A=B780),)"),"cocina")</f>
        <v>cocina</v>
      </c>
      <c r="I780" s="24" t="n">
        <f aca="false">IFERROR(__xludf.dummyfunction("""COMPUTED_VALUE"""),5700)</f>
        <v>5700</v>
      </c>
      <c r="K780" s="0" t="str">
        <f aca="false">IF(D780,"{""sku"":"""&amp;B780&amp;""", ""costo"":"&amp;C780&amp;", ""grupo"":"""&amp;A780&amp;""", ""lote"":"&amp;D780&amp;", ""tiempo"":"&amp;E780&amp;", "&amp;F780&amp;", ""vencimiento"":"&amp;G780&amp;IF(I780,", ""precio"":"&amp;I780,)&amp;", ""tipo"":"""&amp;H780&amp;"""},",)</f>
        <v>{"sku":"10018", "costo":10, "grupo":"11", "lote":1, "tiempo":10, "formula":[{"sku":"1201","req":1},{"sku":"1105","req":1},{"sku":"1112","req":1},{"sku":"1407","req":1},{"sku":"1116","req":1}], "vencimiento":1, "precio":5700, "tipo":"cocina"},</v>
      </c>
    </row>
    <row r="781" customFormat="false" ht="13" hidden="false" customHeight="false" outlineLevel="0" collapsed="false">
      <c r="A781" s="17" t="n">
        <v>11</v>
      </c>
      <c r="B781" s="0" t="n">
        <f aca="false">IFERROR(__xludf.dummyfunction("""COMPUTED_VALUE"""),10019)</f>
        <v>10019</v>
      </c>
      <c r="C781" s="24" t="n">
        <f aca="false">IFERROR(__xludf.dummyfunction("""COMPUTED_VALUE"""),10)</f>
        <v>10</v>
      </c>
      <c r="D781" s="0" t="n">
        <f aca="false">IFERROR(__xludf.dummyfunction("""COMPUTED_VALUE"""),1)</f>
        <v>1</v>
      </c>
      <c r="E781" s="0" t="n">
        <f aca="false">IFERROR(__xludf.dummyfunction("""COMPUTED_VALUE"""),10)</f>
        <v>10</v>
      </c>
      <c r="F781" s="0" t="str">
        <f aca="false">IFERROR(__xludf.dummyfunction("filter(Formulas!$C:$C,Formulas!$A:$A=B781)"),"""formula"":[{""sku"":""1201"",""req"":1},{""sku"":""1106"",""req"":4},{""sku"":""1210"",""req"":1},{""sku"":""1116"",""req"":1},{""sku"":""1407"",""req"":1}]")</f>
        <v>"formula":[{"sku":"1201","req":1},{"sku":"1106","req":4},{"sku":"1210","req":1},{"sku":"1116","req":1},{"sku":"1407","req":1}]</v>
      </c>
      <c r="G781" s="0" t="n">
        <f aca="false">IFERROR(__xludf.dummyfunction("""COMPUTED_VALUE"""),1)</f>
        <v>1</v>
      </c>
      <c r="H781" s="21" t="str">
        <f aca="false">IFERROR(__xludf.dummyfunction("IF(D781,filter(Productos!AC:AC,Productos!A:A=B781),)"),"cocina")</f>
        <v>cocina</v>
      </c>
      <c r="I781" s="24" t="n">
        <f aca="false">IFERROR(__xludf.dummyfunction("""COMPUTED_VALUE"""),5700)</f>
        <v>5700</v>
      </c>
      <c r="K781" s="0" t="str">
        <f aca="false">IF(D781,"{""sku"":"""&amp;B781&amp;""", ""costo"":"&amp;C781&amp;", ""grupo"":"""&amp;A781&amp;""", ""lote"":"&amp;D781&amp;", ""tiempo"":"&amp;E781&amp;", "&amp;F781&amp;", ""vencimiento"":"&amp;G781&amp;IF(I781,", ""precio"":"&amp;I781,)&amp;", ""tipo"":"""&amp;H781&amp;"""},",)</f>
        <v>{"sku":"10019", "costo":10, "grupo":"11", "lote":1, "tiempo":10, "formula":[{"sku":"1201","req":1},{"sku":"1106","req":4},{"sku":"1210","req":1},{"sku":"1116","req":1},{"sku":"1407","req":1}], "vencimiento":1, "precio":5700, "tipo":"cocina"},</v>
      </c>
    </row>
    <row r="782" customFormat="false" ht="13" hidden="false" customHeight="false" outlineLevel="0" collapsed="false">
      <c r="A782" s="16" t="n">
        <v>11</v>
      </c>
      <c r="B782" s="0" t="n">
        <f aca="false">IFERROR(__xludf.dummyfunction("""COMPUTED_VALUE"""),10020)</f>
        <v>10020</v>
      </c>
      <c r="C782" s="24" t="n">
        <f aca="false">IFERROR(__xludf.dummyfunction("""COMPUTED_VALUE"""),10)</f>
        <v>10</v>
      </c>
      <c r="D782" s="0" t="n">
        <f aca="false">IFERROR(__xludf.dummyfunction("""COMPUTED_VALUE"""),1)</f>
        <v>1</v>
      </c>
      <c r="E782" s="0" t="n">
        <f aca="false">IFERROR(__xludf.dummyfunction("""COMPUTED_VALUE"""),20)</f>
        <v>20</v>
      </c>
      <c r="F782" s="0" t="str">
        <f aca="false">IFERROR(__xludf.dummyfunction("filter(Formulas!$C:$C,Formulas!$A:$A=B782)"),"""formula"":[{""sku"":""1201"",""req"":1},{""sku"":""1116"",""req"":1},{""sku"":""1106"",""req"":4},{""sku"":""1112"",""req"":1},{""sku"":""1114"",""req"":1},{""sku"":""1407"",""req"":1}]")</f>
        <v>"formula":[{"sku":"1201","req":1},{"sku":"1116","req":1},{"sku":"1106","req":4},{"sku":"1112","req":1},{"sku":"1114","req":1},{"sku":"1407","req":1}]</v>
      </c>
      <c r="G782" s="0" t="n">
        <f aca="false">IFERROR(__xludf.dummyfunction("""COMPUTED_VALUE"""),1)</f>
        <v>1</v>
      </c>
      <c r="H782" s="21" t="str">
        <f aca="false">IFERROR(__xludf.dummyfunction("IF(D782,filter(Productos!AC:AC,Productos!A:A=B782),)"),"cocina")</f>
        <v>cocina</v>
      </c>
      <c r="I782" s="24" t="n">
        <f aca="false">IFERROR(__xludf.dummyfunction("""COMPUTED_VALUE"""),5900)</f>
        <v>5900</v>
      </c>
      <c r="K782" s="0" t="str">
        <f aca="false">IF(D782,"{""sku"":"""&amp;B782&amp;""", ""costo"":"&amp;C782&amp;", ""grupo"":"""&amp;A782&amp;""", ""lote"":"&amp;D782&amp;", ""tiempo"":"&amp;E782&amp;", "&amp;F782&amp;", ""vencimiento"":"&amp;G782&amp;IF(I782,", ""precio"":"&amp;I782,)&amp;", ""tipo"":"""&amp;H782&amp;"""},",)</f>
        <v>{"sku":"10020", "costo":10, "grupo":"11", "lote":1, "tiempo":20, "formula":[{"sku":"1201","req":1},{"sku":"1116","req":1},{"sku":"1106","req":4},{"sku":"1112","req":1},{"sku":"1114","req":1},{"sku":"1407","req":1}], "vencimiento":1, "precio":5900, "tipo":"cocina"},</v>
      </c>
    </row>
    <row r="783" customFormat="false" ht="13" hidden="false" customHeight="false" outlineLevel="0" collapsed="false">
      <c r="A783" s="17" t="n">
        <v>11</v>
      </c>
      <c r="B783" s="0" t="n">
        <f aca="false">IFERROR(__xludf.dummyfunction("""COMPUTED_VALUE"""),10021)</f>
        <v>10021</v>
      </c>
      <c r="C783" s="24" t="n">
        <f aca="false">IFERROR(__xludf.dummyfunction("""COMPUTED_VALUE"""),10)</f>
        <v>10</v>
      </c>
      <c r="D783" s="0" t="n">
        <f aca="false">IFERROR(__xludf.dummyfunction("""COMPUTED_VALUE"""),1)</f>
        <v>1</v>
      </c>
      <c r="E783" s="0" t="n">
        <f aca="false">IFERROR(__xludf.dummyfunction("""COMPUTED_VALUE"""),10)</f>
        <v>10</v>
      </c>
      <c r="F783" s="0" t="str">
        <f aca="false">IFERROR(__xludf.dummyfunction("filter(Formulas!$C:$C,Formulas!$A:$A=B783)"),"""formula"":[{""sku"":""1201"",""req"":1},{""sku"":""1116"",""req"":1},{""sku"":""1109"",""req"":1},{""sku"":""1114"",""req"":1},{""sku"":""1407"",""req"":1}]")</f>
        <v>"formula":[{"sku":"1201","req":1},{"sku":"1116","req":1},{"sku":"1109","req":1},{"sku":"1114","req":1},{"sku":"1407","req":1}]</v>
      </c>
      <c r="G783" s="0" t="n">
        <f aca="false">IFERROR(__xludf.dummyfunction("""COMPUTED_VALUE"""),1)</f>
        <v>1</v>
      </c>
      <c r="H783" s="21" t="str">
        <f aca="false">IFERROR(__xludf.dummyfunction("IF(D783,filter(Productos!AC:AC,Productos!A:A=B783),)"),"cocina")</f>
        <v>cocina</v>
      </c>
      <c r="I783" s="24" t="n">
        <f aca="false">IFERROR(__xludf.dummyfunction("""COMPUTED_VALUE"""),5900)</f>
        <v>5900</v>
      </c>
      <c r="K783" s="0" t="str">
        <f aca="false">IF(D783,"{""sku"":"""&amp;B783&amp;""", ""costo"":"&amp;C783&amp;", ""grupo"":"""&amp;A783&amp;""", ""lote"":"&amp;D783&amp;", ""tiempo"":"&amp;E783&amp;", "&amp;F783&amp;", ""vencimiento"":"&amp;G783&amp;IF(I783,", ""precio"":"&amp;I783,)&amp;", ""tipo"":"""&amp;H783&amp;"""},",)</f>
        <v>{"sku":"10021", "costo":10, "grupo":"11", "lote":1, "tiempo":10, "formula":[{"sku":"1201","req":1},{"sku":"1116","req":1},{"sku":"1109","req":1},{"sku":"1114","req":1},{"sku":"1407","req":1}], "vencimiento":1, "precio":5900, "tipo":"cocina"},</v>
      </c>
    </row>
    <row r="784" customFormat="false" ht="13" hidden="false" customHeight="false" outlineLevel="0" collapsed="false">
      <c r="A784" s="16" t="n">
        <v>11</v>
      </c>
      <c r="B784" s="0" t="n">
        <f aca="false">IFERROR(__xludf.dummyfunction("""COMPUTED_VALUE"""),10022)</f>
        <v>10022</v>
      </c>
      <c r="C784" s="24" t="n">
        <f aca="false">IFERROR(__xludf.dummyfunction("""COMPUTED_VALUE"""),10)</f>
        <v>10</v>
      </c>
      <c r="D784" s="0" t="n">
        <f aca="false">IFERROR(__xludf.dummyfunction("""COMPUTED_VALUE"""),1)</f>
        <v>1</v>
      </c>
      <c r="E784" s="0" t="n">
        <f aca="false">IFERROR(__xludf.dummyfunction("""COMPUTED_VALUE"""),20)</f>
        <v>20</v>
      </c>
      <c r="F784" s="0" t="str">
        <f aca="false">IFERROR(__xludf.dummyfunction("filter(Formulas!$C:$C,Formulas!$A:$A=B784)"),"""formula"":[{""sku"":""1201"",""req"":1},{""sku"":""1116"",""req"":1},{""sku"":""1107"",""req"":1},{""sku"":""1112"",""req"":1},{""sku"":""1210"",""req"":1},{""sku"":""1215"",""req"":1}]")</f>
        <v>"formula":[{"sku":"1201","req":1},{"sku":"1116","req":1},{"sku":"1107","req":1},{"sku":"1112","req":1},{"sku":"1210","req":1},{"sku":"1215","req":1}]</v>
      </c>
      <c r="G784" s="0" t="n">
        <f aca="false">IFERROR(__xludf.dummyfunction("""COMPUTED_VALUE"""),1)</f>
        <v>1</v>
      </c>
      <c r="H784" s="21" t="str">
        <f aca="false">IFERROR(__xludf.dummyfunction("IF(D784,filter(Productos!AC:AC,Productos!A:A=B784),)"),"cocina")</f>
        <v>cocina</v>
      </c>
      <c r="I784" s="24" t="n">
        <f aca="false">IFERROR(__xludf.dummyfunction("""COMPUTED_VALUE"""),5500)</f>
        <v>5500</v>
      </c>
      <c r="K784" s="0" t="str">
        <f aca="false">IF(D784,"{""sku"":"""&amp;B784&amp;""", ""costo"":"&amp;C784&amp;", ""grupo"":"""&amp;A784&amp;""", ""lote"":"&amp;D784&amp;", ""tiempo"":"&amp;E784&amp;", "&amp;F784&amp;", ""vencimiento"":"&amp;G784&amp;IF(I784,", ""precio"":"&amp;I784,)&amp;", ""tipo"":"""&amp;H784&amp;"""},",)</f>
        <v>{"sku":"10022", "costo":10, "grupo":"11", "lote":1, "tiempo":20, "formula":[{"sku":"1201","req":1},{"sku":"1116","req":1},{"sku":"1107","req":1},{"sku":"1112","req":1},{"sku":"1210","req":1},{"sku":"1215","req":1}], "vencimiento":1, "precio":5500, "tipo":"cocina"},</v>
      </c>
    </row>
    <row r="785" customFormat="false" ht="13" hidden="false" customHeight="false" outlineLevel="0" collapsed="false">
      <c r="A785" s="17" t="n">
        <v>11</v>
      </c>
      <c r="B785" s="0" t="n">
        <f aca="false">IFERROR(__xludf.dummyfunction("""COMPUTED_VALUE"""),10023)</f>
        <v>10023</v>
      </c>
      <c r="C785" s="24" t="n">
        <f aca="false">IFERROR(__xludf.dummyfunction("""COMPUTED_VALUE"""),10)</f>
        <v>10</v>
      </c>
      <c r="D785" s="0" t="n">
        <f aca="false">IFERROR(__xludf.dummyfunction("""COMPUTED_VALUE"""),1)</f>
        <v>1</v>
      </c>
      <c r="E785" s="0" t="n">
        <f aca="false">IFERROR(__xludf.dummyfunction("""COMPUTED_VALUE"""),20)</f>
        <v>20</v>
      </c>
      <c r="F785" s="0" t="str">
        <f aca="false">IFERROR(__xludf.dummyfunction("filter(Formulas!$C:$C,Formulas!$A:$A=B785)"),"""formula"":[{""sku"":""1201"",""req"":1},{""sku"":""1116"",""req"":1},{""sku"":""1109"",""req"":1},{""sku"":""1112"",""req"":1},{""sku"":""1210"",""req"":1},{""sku"":""1215"",""req"":1}]")</f>
        <v>"formula":[{"sku":"1201","req":1},{"sku":"1116","req":1},{"sku":"1109","req":1},{"sku":"1112","req":1},{"sku":"1210","req":1},{"sku":"1215","req":1}]</v>
      </c>
      <c r="G785" s="0" t="n">
        <f aca="false">IFERROR(__xludf.dummyfunction("""COMPUTED_VALUE"""),1)</f>
        <v>1</v>
      </c>
      <c r="H785" s="21" t="str">
        <f aca="false">IFERROR(__xludf.dummyfunction("IF(D785,filter(Productos!AC:AC,Productos!A:A=B785),)"),"cocina")</f>
        <v>cocina</v>
      </c>
      <c r="I785" s="24" t="n">
        <f aca="false">IFERROR(__xludf.dummyfunction("""COMPUTED_VALUE"""),5500)</f>
        <v>5500</v>
      </c>
      <c r="K785" s="0" t="str">
        <f aca="false">IF(D785,"{""sku"":"""&amp;B785&amp;""", ""costo"":"&amp;C785&amp;", ""grupo"":"""&amp;A785&amp;""", ""lote"":"&amp;D785&amp;", ""tiempo"":"&amp;E785&amp;", "&amp;F785&amp;", ""vencimiento"":"&amp;G785&amp;IF(I785,", ""precio"":"&amp;I785,)&amp;", ""tipo"":"""&amp;H785&amp;"""},",)</f>
        <v>{"sku":"10023", "costo":10, "grupo":"11", "lote":1, "tiempo":20, "formula":[{"sku":"1201","req":1},{"sku":"1116","req":1},{"sku":"1109","req":1},{"sku":"1112","req":1},{"sku":"1210","req":1},{"sku":"1215","req":1}], "vencimiento":1, "precio":5500, "tipo":"cocina"},</v>
      </c>
    </row>
    <row r="786" customFormat="false" ht="13" hidden="false" customHeight="false" outlineLevel="0" collapsed="false">
      <c r="A786" s="16" t="n">
        <v>11</v>
      </c>
      <c r="B786" s="0" t="n">
        <f aca="false">IFERROR(__xludf.dummyfunction("""COMPUTED_VALUE"""),10024)</f>
        <v>10024</v>
      </c>
      <c r="C786" s="24" t="n">
        <f aca="false">IFERROR(__xludf.dummyfunction("""COMPUTED_VALUE"""),10)</f>
        <v>10</v>
      </c>
      <c r="D786" s="0" t="n">
        <f aca="false">IFERROR(__xludf.dummyfunction("""COMPUTED_VALUE"""),1)</f>
        <v>1</v>
      </c>
      <c r="E786" s="0" t="n">
        <f aca="false">IFERROR(__xludf.dummyfunction("""COMPUTED_VALUE"""),20)</f>
        <v>20</v>
      </c>
      <c r="F786" s="0" t="str">
        <f aca="false">IFERROR(__xludf.dummyfunction("filter(Formulas!$C:$C,Formulas!$A:$A=B786)"),"""formula"":[{""sku"":""1201"",""req"":1},{""sku"":""1116"",""req"":1},{""sku"":""1210"",""req"":1},{""sku"":""1114"",""req"":1},{""sku"":""1115"",""req"":1},{""sku"":""1211"",""req"":1}]")</f>
        <v>"formula":[{"sku":"1201","req":1},{"sku":"1116","req":1},{"sku":"1210","req":1},{"sku":"1114","req":1},{"sku":"1115","req":1},{"sku":"1211","req":1}]</v>
      </c>
      <c r="G786" s="0" t="n">
        <f aca="false">IFERROR(__xludf.dummyfunction("""COMPUTED_VALUE"""),1)</f>
        <v>1</v>
      </c>
      <c r="H786" s="21" t="str">
        <f aca="false">IFERROR(__xludf.dummyfunction("IF(D786,filter(Productos!AC:AC,Productos!A:A=B786),)"),"cocina")</f>
        <v>cocina</v>
      </c>
      <c r="I786" s="24" t="n">
        <f aca="false">IFERROR(__xludf.dummyfunction("""COMPUTED_VALUE"""),4900)</f>
        <v>4900</v>
      </c>
      <c r="K786" s="0" t="str">
        <f aca="false">IF(D786,"{""sku"":"""&amp;B786&amp;""", ""costo"":"&amp;C786&amp;", ""grupo"":"""&amp;A786&amp;""", ""lote"":"&amp;D786&amp;", ""tiempo"":"&amp;E786&amp;", "&amp;F786&amp;", ""vencimiento"":"&amp;G786&amp;IF(I786,", ""precio"":"&amp;I786,)&amp;", ""tipo"":"""&amp;H786&amp;"""},",)</f>
        <v>{"sku":"10024", "costo":10, "grupo":"11", "lote":1, "tiempo":20, "formula":[{"sku":"1201","req":1},{"sku":"1116","req":1},{"sku":"1210","req":1},{"sku":"1114","req":1},{"sku":"1115","req":1},{"sku":"1211","req":1}], "vencimiento":1, "precio":4900, "tipo":"cocina"},</v>
      </c>
    </row>
    <row r="787" customFormat="false" ht="13" hidden="false" customHeight="false" outlineLevel="0" collapsed="false">
      <c r="A787" s="17" t="n">
        <v>11</v>
      </c>
      <c r="B787" s="0" t="n">
        <f aca="false">IFERROR(__xludf.dummyfunction("""COMPUTED_VALUE"""),10025)</f>
        <v>10025</v>
      </c>
      <c r="C787" s="24" t="n">
        <f aca="false">IFERROR(__xludf.dummyfunction("""COMPUTED_VALUE"""),10)</f>
        <v>10</v>
      </c>
      <c r="D787" s="0" t="n">
        <f aca="false">IFERROR(__xludf.dummyfunction("""COMPUTED_VALUE"""),1)</f>
        <v>1</v>
      </c>
      <c r="E787" s="0" t="n">
        <f aca="false">IFERROR(__xludf.dummyfunction("""COMPUTED_VALUE"""),20)</f>
        <v>20</v>
      </c>
      <c r="F787" s="0" t="str">
        <f aca="false">IFERROR(__xludf.dummyfunction("filter(Formulas!$C:$C,Formulas!$A:$A=B787)"),"""formula"":[{""sku"":""1201"",""req"":1},{""sku"":""1116"",""req"":1},{""sku"":""1210"",""req"":1},{""sku"":""1114"",""req"":1},{""sku"":""1115"",""req"":1},{""sku"":""1013"",""req"":5}]")</f>
        <v>"formula":[{"sku":"1201","req":1},{"sku":"1116","req":1},{"sku":"1210","req":1},{"sku":"1114","req":1},{"sku":"1115","req":1},{"sku":"1013","req":5}]</v>
      </c>
      <c r="G787" s="0" t="n">
        <f aca="false">IFERROR(__xludf.dummyfunction("""COMPUTED_VALUE"""),1)</f>
        <v>1</v>
      </c>
      <c r="H787" s="21" t="str">
        <f aca="false">IFERROR(__xludf.dummyfunction("IF(D787,filter(Productos!AC:AC,Productos!A:A=B787),)"),"cocina")</f>
        <v>cocina</v>
      </c>
      <c r="I787" s="24" t="n">
        <f aca="false">IFERROR(__xludf.dummyfunction("""COMPUTED_VALUE"""),4900)</f>
        <v>4900</v>
      </c>
      <c r="K787" s="0" t="str">
        <f aca="false">IF(D787,"{""sku"":"""&amp;B787&amp;""", ""costo"":"&amp;C787&amp;", ""grupo"":"""&amp;A787&amp;""", ""lote"":"&amp;D787&amp;", ""tiempo"":"&amp;E787&amp;", "&amp;F787&amp;", ""vencimiento"":"&amp;G787&amp;IF(I787,", ""precio"":"&amp;I787,)&amp;", ""tipo"":"""&amp;H787&amp;"""},",)</f>
        <v>{"sku":"10025", "costo":10, "grupo":"11", "lote":1, "tiempo":20, "formula":[{"sku":"1201","req":1},{"sku":"1116","req":1},{"sku":"1210","req":1},{"sku":"1114","req":1},{"sku":"1115","req":1},{"sku":"1013","req":5}], "vencimiento":1, "precio":4900, "tipo":"cocina"},</v>
      </c>
    </row>
    <row r="788" customFormat="false" ht="13" hidden="false" customHeight="false" outlineLevel="0" collapsed="false">
      <c r="A788" s="16" t="n">
        <v>11</v>
      </c>
      <c r="B788" s="0" t="n">
        <f aca="false">IFERROR(__xludf.dummyfunction("""COMPUTED_VALUE"""),20001)</f>
        <v>20001</v>
      </c>
      <c r="C788" s="24" t="n">
        <f aca="false">IFERROR(__xludf.dummyfunction("""COMPUTED_VALUE"""),10)</f>
        <v>10</v>
      </c>
      <c r="D788" s="0" t="n">
        <f aca="false">IFERROR(__xludf.dummyfunction("""COMPUTED_VALUE"""),1)</f>
        <v>1</v>
      </c>
      <c r="E788" s="0" t="n">
        <f aca="false">IFERROR(__xludf.dummyfunction("""COMPUTED_VALUE"""),10)</f>
        <v>10</v>
      </c>
      <c r="F788" s="0" t="str">
        <f aca="false">IFERROR(__xludf.dummyfunction("filter(Formulas!$C:$C,Formulas!$A:$A=B788)"),"""formula"":[{""sku"":""1301"",""req"":1},{""sku"":""1207"",""req"":1},{""sku"":""1310"",""req"":1},{""sku"":""1112"",""req"":1},{""sku"":""1216"",""req"":1}]")</f>
        <v>"formula":[{"sku":"1301","req":1},{"sku":"1207","req":1},{"sku":"1310","req":1},{"sku":"1112","req":1},{"sku":"1216","req":1}]</v>
      </c>
      <c r="G788" s="0" t="n">
        <f aca="false">IFERROR(__xludf.dummyfunction("""COMPUTED_VALUE"""),1)</f>
        <v>1</v>
      </c>
      <c r="H788" s="21" t="str">
        <f aca="false">IFERROR(__xludf.dummyfunction("IF(D788,filter(Productos!AC:AC,Productos!A:A=B788),)"),"cocina")</f>
        <v>cocina</v>
      </c>
      <c r="I788" s="24" t="n">
        <f aca="false">IFERROR(__xludf.dummyfunction("""COMPUTED_VALUE"""),2700)</f>
        <v>2700</v>
      </c>
      <c r="K788" s="0" t="str">
        <f aca="false">IF(D788,"{""sku"":"""&amp;B788&amp;""", ""costo"":"&amp;C788&amp;", ""grupo"":"""&amp;A788&amp;""", ""lote"":"&amp;D788&amp;", ""tiempo"":"&amp;E788&amp;", "&amp;F788&amp;", ""vencimiento"":"&amp;G788&amp;IF(I788,", ""precio"":"&amp;I788,)&amp;", ""tipo"":"""&amp;H788&amp;"""},",)</f>
        <v>{"sku":"20001", "costo":10, "grupo":"11", "lote":1, "tiempo":10, "formula":[{"sku":"1301","req":1},{"sku":"1207","req":1},{"sku":"1310","req":1},{"sku":"1112","req":1},{"sku":"1216","req":1}], "vencimiento":1, "precio":2700, "tipo":"cocina"},</v>
      </c>
    </row>
    <row r="789" customFormat="false" ht="13" hidden="false" customHeight="false" outlineLevel="0" collapsed="false">
      <c r="A789" s="17" t="n">
        <v>11</v>
      </c>
      <c r="B789" s="0" t="n">
        <f aca="false">IFERROR(__xludf.dummyfunction("""COMPUTED_VALUE"""),20002)</f>
        <v>20002</v>
      </c>
      <c r="C789" s="24" t="n">
        <f aca="false">IFERROR(__xludf.dummyfunction("""COMPUTED_VALUE"""),10)</f>
        <v>10</v>
      </c>
      <c r="D789" s="0" t="n">
        <f aca="false">IFERROR(__xludf.dummyfunction("""COMPUTED_VALUE"""),1)</f>
        <v>1</v>
      </c>
      <c r="E789" s="0" t="n">
        <f aca="false">IFERROR(__xludf.dummyfunction("""COMPUTED_VALUE"""),10)</f>
        <v>10</v>
      </c>
      <c r="F789" s="0" t="str">
        <f aca="false">IFERROR(__xludf.dummyfunction("filter(Formulas!$C:$C,Formulas!$A:$A=B789)"),"""formula"":[{""sku"":""1301"",""req"":1},{""sku"":""1216"",""req"":1},{""sku"":""1106"",""req"":4}]")</f>
        <v>"formula":[{"sku":"1301","req":1},{"sku":"1216","req":1},{"sku":"1106","req":4}]</v>
      </c>
      <c r="G789" s="0" t="n">
        <f aca="false">IFERROR(__xludf.dummyfunction("""COMPUTED_VALUE"""),1)</f>
        <v>1</v>
      </c>
      <c r="H789" s="21" t="str">
        <f aca="false">IFERROR(__xludf.dummyfunction("IF(D789,filter(Productos!AC:AC,Productos!A:A=B789),)"),"cocina")</f>
        <v>cocina</v>
      </c>
      <c r="I789" s="24" t="n">
        <f aca="false">IFERROR(__xludf.dummyfunction("""COMPUTED_VALUE"""),2700)</f>
        <v>2700</v>
      </c>
      <c r="K789" s="0" t="str">
        <f aca="false">IF(D789,"{""sku"":"""&amp;B789&amp;""", ""costo"":"&amp;C789&amp;", ""grupo"":"""&amp;A789&amp;""", ""lote"":"&amp;D789&amp;", ""tiempo"":"&amp;E789&amp;", "&amp;F789&amp;", ""vencimiento"":"&amp;G789&amp;IF(I789,", ""precio"":"&amp;I789,)&amp;", ""tipo"":"""&amp;H789&amp;"""},",)</f>
        <v>{"sku":"20002", "costo":10, "grupo":"11", "lote":1, "tiempo":10, "formula":[{"sku":"1301","req":1},{"sku":"1216","req":1},{"sku":"1106","req":4}], "vencimiento":1, "precio":2700, "tipo":"cocina"},</v>
      </c>
    </row>
    <row r="790" customFormat="false" ht="13" hidden="false" customHeight="false" outlineLevel="0" collapsed="false">
      <c r="A790" s="16" t="n">
        <v>11</v>
      </c>
      <c r="B790" s="0" t="n">
        <f aca="false">IFERROR(__xludf.dummyfunction("""COMPUTED_VALUE"""),20003)</f>
        <v>20003</v>
      </c>
      <c r="C790" s="24" t="n">
        <f aca="false">IFERROR(__xludf.dummyfunction("""COMPUTED_VALUE"""),10)</f>
        <v>10</v>
      </c>
      <c r="D790" s="0" t="n">
        <f aca="false">IFERROR(__xludf.dummyfunction("""COMPUTED_VALUE"""),1)</f>
        <v>1</v>
      </c>
      <c r="E790" s="0" t="n">
        <f aca="false">IFERROR(__xludf.dummyfunction("""COMPUTED_VALUE"""),10)</f>
        <v>10</v>
      </c>
      <c r="F790" s="0" t="str">
        <f aca="false">IFERROR(__xludf.dummyfunction("filter(Formulas!$C:$C,Formulas!$A:$A=B790)"),"""formula"":[{""sku"":""1301"",""req"":1},{""sku"":""1216"",""req"":1},{""sku"":""1207"",""req"":1}]")</f>
        <v>"formula":[{"sku":"1301","req":1},{"sku":"1216","req":1},{"sku":"1207","req":1}]</v>
      </c>
      <c r="G790" s="0" t="n">
        <f aca="false">IFERROR(__xludf.dummyfunction("""COMPUTED_VALUE"""),1)</f>
        <v>1</v>
      </c>
      <c r="H790" s="21" t="str">
        <f aca="false">IFERROR(__xludf.dummyfunction("IF(D790,filter(Productos!AC:AC,Productos!A:A=B790),)"),"cocina")</f>
        <v>cocina</v>
      </c>
      <c r="I790" s="24" t="n">
        <f aca="false">IFERROR(__xludf.dummyfunction("""COMPUTED_VALUE"""),2700)</f>
        <v>2700</v>
      </c>
      <c r="K790" s="0" t="str">
        <f aca="false">IF(D790,"{""sku"":"""&amp;B790&amp;""", ""costo"":"&amp;C790&amp;", ""grupo"":"""&amp;A790&amp;""", ""lote"":"&amp;D790&amp;", ""tiempo"":"&amp;E790&amp;", "&amp;F790&amp;", ""vencimiento"":"&amp;G790&amp;IF(I790,", ""precio"":"&amp;I790,)&amp;", ""tipo"":"""&amp;H790&amp;"""},",)</f>
        <v>{"sku":"20003", "costo":10, "grupo":"11", "lote":1, "tiempo":10, "formula":[{"sku":"1301","req":1},{"sku":"1216","req":1},{"sku":"1207","req":1}], "vencimiento":1, "precio":2700, "tipo":"cocina"},</v>
      </c>
    </row>
    <row r="791" customFormat="false" ht="13" hidden="false" customHeight="false" outlineLevel="0" collapsed="false">
      <c r="A791" s="17" t="n">
        <v>11</v>
      </c>
      <c r="B791" s="0" t="n">
        <f aca="false">IFERROR(__xludf.dummyfunction("""COMPUTED_VALUE"""),20004)</f>
        <v>20004</v>
      </c>
      <c r="C791" s="24" t="n">
        <f aca="false">IFERROR(__xludf.dummyfunction("""COMPUTED_VALUE"""),10)</f>
        <v>10</v>
      </c>
      <c r="D791" s="0" t="n">
        <f aca="false">IFERROR(__xludf.dummyfunction("""COMPUTED_VALUE"""),1)</f>
        <v>1</v>
      </c>
      <c r="E791" s="0" t="n">
        <f aca="false">IFERROR(__xludf.dummyfunction("""COMPUTED_VALUE"""),10)</f>
        <v>10</v>
      </c>
      <c r="F791" s="0" t="str">
        <f aca="false">IFERROR(__xludf.dummyfunction("filter(Formulas!$C:$C,Formulas!$A:$A=B791)"),"""formula"":[{""sku"":""1301"",""req"":1},{""sku"":""1216"",""req"":1},{""sku"":""1209"",""req"":1}]")</f>
        <v>"formula":[{"sku":"1301","req":1},{"sku":"1216","req":1},{"sku":"1209","req":1}]</v>
      </c>
      <c r="G791" s="0" t="n">
        <f aca="false">IFERROR(__xludf.dummyfunction("""COMPUTED_VALUE"""),1)</f>
        <v>1</v>
      </c>
      <c r="H791" s="21" t="str">
        <f aca="false">IFERROR(__xludf.dummyfunction("IF(D791,filter(Productos!AC:AC,Productos!A:A=B791),)"),"cocina")</f>
        <v>cocina</v>
      </c>
      <c r="I791" s="24" t="n">
        <f aca="false">IFERROR(__xludf.dummyfunction("""COMPUTED_VALUE"""),2700)</f>
        <v>2700</v>
      </c>
      <c r="K791" s="0" t="str">
        <f aca="false">IF(D791,"{""sku"":"""&amp;B791&amp;""", ""costo"":"&amp;C791&amp;", ""grupo"":"""&amp;A791&amp;""", ""lote"":"&amp;D791&amp;", ""tiempo"":"&amp;E791&amp;", "&amp;F791&amp;", ""vencimiento"":"&amp;G791&amp;IF(I791,", ""precio"":"&amp;I791,)&amp;", ""tipo"":"""&amp;H791&amp;"""},",)</f>
        <v>{"sku":"20004", "costo":10, "grupo":"11", "lote":1, "tiempo":10, "formula":[{"sku":"1301","req":1},{"sku":"1216","req":1},{"sku":"1209","req":1}], "vencimiento":1, "precio":2700, "tipo":"cocina"},</v>
      </c>
    </row>
    <row r="792" customFormat="false" ht="13" hidden="false" customHeight="false" outlineLevel="0" collapsed="false">
      <c r="A792" s="16" t="n">
        <v>11</v>
      </c>
      <c r="B792" s="0" t="n">
        <f aca="false">IFERROR(__xludf.dummyfunction("""COMPUTED_VALUE"""),20005)</f>
        <v>20005</v>
      </c>
      <c r="C792" s="24" t="n">
        <f aca="false">IFERROR(__xludf.dummyfunction("""COMPUTED_VALUE"""),10)</f>
        <v>10</v>
      </c>
      <c r="D792" s="0" t="n">
        <f aca="false">IFERROR(__xludf.dummyfunction("""COMPUTED_VALUE"""),1)</f>
        <v>1</v>
      </c>
      <c r="E792" s="0" t="n">
        <f aca="false">IFERROR(__xludf.dummyfunction("""COMPUTED_VALUE"""),20)</f>
        <v>20</v>
      </c>
      <c r="F792" s="0" t="str">
        <f aca="false">IFERROR(__xludf.dummyfunction("filter(Formulas!$C:$C,Formulas!$A:$A=B792)"),"""formula"":[{""sku"":""1301"",""req"":1},{""sku"":""1216"",""req"":1},{""sku"":""1209"",""req"":1},{""sku"":""1310"",""req"":1},{""sku"":""1112"",""req"":1}]")</f>
        <v>"formula":[{"sku":"1301","req":1},{"sku":"1216","req":1},{"sku":"1209","req":1},{"sku":"1310","req":1},{"sku":"1112","req":1}]</v>
      </c>
      <c r="G792" s="0" t="n">
        <f aca="false">IFERROR(__xludf.dummyfunction("""COMPUTED_VALUE"""),1)</f>
        <v>1</v>
      </c>
      <c r="H792" s="21" t="str">
        <f aca="false">IFERROR(__xludf.dummyfunction("IF(D792,filter(Productos!AC:AC,Productos!A:A=B792),)"),"cocina")</f>
        <v>cocina</v>
      </c>
      <c r="I792" s="24" t="n">
        <f aca="false">IFERROR(__xludf.dummyfunction("""COMPUTED_VALUE"""),2700)</f>
        <v>2700</v>
      </c>
      <c r="K792" s="0" t="str">
        <f aca="false">IF(D792,"{""sku"":"""&amp;B792&amp;""", ""costo"":"&amp;C792&amp;", ""grupo"":"""&amp;A792&amp;""", ""lote"":"&amp;D792&amp;", ""tiempo"":"&amp;E792&amp;", "&amp;F792&amp;", ""vencimiento"":"&amp;G792&amp;IF(I792,", ""precio"":"&amp;I792,)&amp;", ""tipo"":"""&amp;H792&amp;"""},",)</f>
        <v>{"sku":"20005", "costo":10, "grupo":"11", "lote":1, "tiempo":20, "formula":[{"sku":"1301","req":1},{"sku":"1216","req":1},{"sku":"1209","req":1},{"sku":"1310","req":1},{"sku":"1112","req":1}], "vencimiento":1, "precio":2700, "tipo":"cocina"},</v>
      </c>
    </row>
    <row r="793" customFormat="false" ht="13" hidden="false" customHeight="false" outlineLevel="0" collapsed="false">
      <c r="A793" s="17" t="n">
        <v>11</v>
      </c>
      <c r="B793" s="0" t="n">
        <f aca="false">IFERROR(__xludf.dummyfunction("""COMPUTED_VALUE"""),30001)</f>
        <v>30001</v>
      </c>
      <c r="C793" s="24" t="n">
        <f aca="false">IFERROR(__xludf.dummyfunction("""COMPUTED_VALUE"""),10)</f>
        <v>10</v>
      </c>
      <c r="D793" s="0" t="n">
        <f aca="false">IFERROR(__xludf.dummyfunction("""COMPUTED_VALUE"""),1)</f>
        <v>1</v>
      </c>
      <c r="E793" s="0" t="n">
        <f aca="false">IFERROR(__xludf.dummyfunction("""COMPUTED_VALUE"""),10)</f>
        <v>10</v>
      </c>
      <c r="F793" s="0" t="str">
        <f aca="false">IFERROR(__xludf.dummyfunction("filter(Formulas!$C:$C,Formulas!$A:$A=B793)"),"""formula"":[{""sku"":""1307"",""req"":3}]")</f>
        <v>"formula":[{"sku":"1307","req":3}]</v>
      </c>
      <c r="G793" s="0" t="n">
        <f aca="false">IFERROR(__xludf.dummyfunction("""COMPUTED_VALUE"""),1)</f>
        <v>1</v>
      </c>
      <c r="H793" s="21" t="str">
        <f aca="false">IFERROR(__xludf.dummyfunction("IF(D793,filter(Productos!AC:AC,Productos!A:A=B793),)"),"cocina")</f>
        <v>cocina</v>
      </c>
      <c r="I793" s="24" t="n">
        <f aca="false">IFERROR(__xludf.dummyfunction("""COMPUTED_VALUE"""),7900)</f>
        <v>7900</v>
      </c>
      <c r="K793" s="0" t="str">
        <f aca="false">IF(D793,"{""sku"":"""&amp;B793&amp;""", ""costo"":"&amp;C793&amp;", ""grupo"":"""&amp;A793&amp;""", ""lote"":"&amp;D793&amp;", ""tiempo"":"&amp;E793&amp;", "&amp;F793&amp;", ""vencimiento"":"&amp;G793&amp;IF(I793,", ""precio"":"&amp;I793,)&amp;", ""tipo"":"""&amp;H793&amp;"""},",)</f>
        <v>{"sku":"30001", "costo":10, "grupo":"11", "lote":1, "tiempo":10, "formula":[{"sku":"1307","req":3}], "vencimiento":1, "precio":7900, "tipo":"cocina"},</v>
      </c>
    </row>
    <row r="794" customFormat="false" ht="13" hidden="false" customHeight="false" outlineLevel="0" collapsed="false">
      <c r="A794" s="16" t="n">
        <v>11</v>
      </c>
      <c r="B794" s="0" t="n">
        <f aca="false">IFERROR(__xludf.dummyfunction("""COMPUTED_VALUE"""),30002)</f>
        <v>30002</v>
      </c>
      <c r="C794" s="24" t="n">
        <f aca="false">IFERROR(__xludf.dummyfunction("""COMPUTED_VALUE"""),10)</f>
        <v>10</v>
      </c>
      <c r="D794" s="0" t="n">
        <f aca="false">IFERROR(__xludf.dummyfunction("""COMPUTED_VALUE"""),1)</f>
        <v>1</v>
      </c>
      <c r="E794" s="0" t="n">
        <f aca="false">IFERROR(__xludf.dummyfunction("""COMPUTED_VALUE"""),10)</f>
        <v>10</v>
      </c>
      <c r="F794" s="0" t="str">
        <f aca="false">IFERROR(__xludf.dummyfunction("filter(Formulas!$C:$C,Formulas!$A:$A=B794)"),"""formula"":[{""sku"":""1307"",""req"":4}]")</f>
        <v>"formula":[{"sku":"1307","req":4}]</v>
      </c>
      <c r="G794" s="0" t="n">
        <f aca="false">IFERROR(__xludf.dummyfunction("""COMPUTED_VALUE"""),1)</f>
        <v>1</v>
      </c>
      <c r="H794" s="21" t="str">
        <f aca="false">IFERROR(__xludf.dummyfunction("IF(D794,filter(Productos!AC:AC,Productos!A:A=B794),)"),"cocina")</f>
        <v>cocina</v>
      </c>
      <c r="I794" s="24" t="n">
        <f aca="false">IFERROR(__xludf.dummyfunction("""COMPUTED_VALUE"""),9900)</f>
        <v>9900</v>
      </c>
      <c r="K794" s="0" t="str">
        <f aca="false">IF(D794,"{""sku"":"""&amp;B794&amp;""", ""costo"":"&amp;C794&amp;", ""grupo"":"""&amp;A794&amp;""", ""lote"":"&amp;D794&amp;", ""tiempo"":"&amp;E794&amp;", "&amp;F794&amp;", ""vencimiento"":"&amp;G794&amp;IF(I794,", ""precio"":"&amp;I794,)&amp;", ""tipo"":"""&amp;H794&amp;"""},",)</f>
        <v>{"sku":"30002", "costo":10, "grupo":"11", "lote":1, "tiempo":10, "formula":[{"sku":"1307","req":4}], "vencimiento":1, "precio":9900, "tipo":"cocina"},</v>
      </c>
    </row>
    <row r="795" customFormat="false" ht="13" hidden="false" customHeight="false" outlineLevel="0" collapsed="false">
      <c r="A795" s="17" t="n">
        <v>11</v>
      </c>
      <c r="B795" s="0" t="n">
        <f aca="false">IFERROR(__xludf.dummyfunction("""COMPUTED_VALUE"""),30003)</f>
        <v>30003</v>
      </c>
      <c r="C795" s="24" t="n">
        <f aca="false">IFERROR(__xludf.dummyfunction("""COMPUTED_VALUE"""),10)</f>
        <v>10</v>
      </c>
      <c r="D795" s="0" t="n">
        <f aca="false">IFERROR(__xludf.dummyfunction("""COMPUTED_VALUE"""),1)</f>
        <v>1</v>
      </c>
      <c r="E795" s="0" t="n">
        <f aca="false">IFERROR(__xludf.dummyfunction("""COMPUTED_VALUE"""),10)</f>
        <v>10</v>
      </c>
      <c r="F795" s="0" t="str">
        <f aca="false">IFERROR(__xludf.dummyfunction("filter(Formulas!$C:$C,Formulas!$A:$A=B795)"),"""formula"":[{""sku"":""1307"",""req"":5}]")</f>
        <v>"formula":[{"sku":"1307","req":5}]</v>
      </c>
      <c r="G795" s="0" t="n">
        <f aca="false">IFERROR(__xludf.dummyfunction("""COMPUTED_VALUE"""),1)</f>
        <v>1</v>
      </c>
      <c r="H795" s="21" t="str">
        <f aca="false">IFERROR(__xludf.dummyfunction("IF(D795,filter(Productos!AC:AC,Productos!A:A=B795),)"),"cocina")</f>
        <v>cocina</v>
      </c>
      <c r="I795" s="24" t="n">
        <f aca="false">IFERROR(__xludf.dummyfunction("""COMPUTED_VALUE"""),12500)</f>
        <v>12500</v>
      </c>
      <c r="K795" s="0" t="str">
        <f aca="false">IF(D795,"{""sku"":"""&amp;B795&amp;""", ""costo"":"&amp;C795&amp;", ""grupo"":"""&amp;A795&amp;""", ""lote"":"&amp;D795&amp;", ""tiempo"":"&amp;E795&amp;", "&amp;F795&amp;", ""vencimiento"":"&amp;G795&amp;IF(I795,", ""precio"":"&amp;I795,)&amp;", ""tipo"":"""&amp;H795&amp;"""},",)</f>
        <v>{"sku":"30003", "costo":10, "grupo":"11", "lote":1, "tiempo":10, "formula":[{"sku":"1307","req":5}], "vencimiento":1, "precio":12500, "tipo":"cocina"},</v>
      </c>
    </row>
    <row r="796" customFormat="false" ht="13" hidden="false" customHeight="false" outlineLevel="0" collapsed="false">
      <c r="A796" s="16" t="n">
        <v>11</v>
      </c>
      <c r="B796" s="0" t="n">
        <f aca="false">IFERROR(__xludf.dummyfunction("""COMPUTED_VALUE"""),30004)</f>
        <v>30004</v>
      </c>
      <c r="C796" s="24" t="n">
        <f aca="false">IFERROR(__xludf.dummyfunction("""COMPUTED_VALUE"""),10)</f>
        <v>10</v>
      </c>
      <c r="D796" s="0" t="n">
        <f aca="false">IFERROR(__xludf.dummyfunction("""COMPUTED_VALUE"""),1)</f>
        <v>1</v>
      </c>
      <c r="E796" s="0" t="n">
        <f aca="false">IFERROR(__xludf.dummyfunction("""COMPUTED_VALUE"""),10)</f>
        <v>10</v>
      </c>
      <c r="F796" s="0" t="str">
        <f aca="false">IFERROR(__xludf.dummyfunction("filter(Formulas!$C:$C,Formulas!$A:$A=B796)"),"""formula"":[{""sku"":""1309"",""req"":3}]")</f>
        <v>"formula":[{"sku":"1309","req":3}]</v>
      </c>
      <c r="G796" s="0" t="n">
        <f aca="false">IFERROR(__xludf.dummyfunction("""COMPUTED_VALUE"""),1)</f>
        <v>1</v>
      </c>
      <c r="H796" s="21" t="str">
        <f aca="false">IFERROR(__xludf.dummyfunction("IF(D796,filter(Productos!AC:AC,Productos!A:A=B796),)"),"cocina")</f>
        <v>cocina</v>
      </c>
      <c r="I796" s="24" t="n">
        <f aca="false">IFERROR(__xludf.dummyfunction("""COMPUTED_VALUE"""),7900)</f>
        <v>7900</v>
      </c>
      <c r="K796" s="0" t="str">
        <f aca="false">IF(D796,"{""sku"":"""&amp;B796&amp;""", ""costo"":"&amp;C796&amp;", ""grupo"":"""&amp;A796&amp;""", ""lote"":"&amp;D796&amp;", ""tiempo"":"&amp;E796&amp;", "&amp;F796&amp;", ""vencimiento"":"&amp;G796&amp;IF(I796,", ""precio"":"&amp;I796,)&amp;", ""tipo"":"""&amp;H796&amp;"""},",)</f>
        <v>{"sku":"30004", "costo":10, "grupo":"11", "lote":1, "tiempo":10, "formula":[{"sku":"1309","req":3}], "vencimiento":1, "precio":7900, "tipo":"cocina"},</v>
      </c>
    </row>
    <row r="797" customFormat="false" ht="13" hidden="false" customHeight="false" outlineLevel="0" collapsed="false">
      <c r="A797" s="17" t="n">
        <v>11</v>
      </c>
      <c r="B797" s="0" t="n">
        <f aca="false">IFERROR(__xludf.dummyfunction("""COMPUTED_VALUE"""),30005)</f>
        <v>30005</v>
      </c>
      <c r="C797" s="24" t="n">
        <f aca="false">IFERROR(__xludf.dummyfunction("""COMPUTED_VALUE"""),10)</f>
        <v>10</v>
      </c>
      <c r="D797" s="0" t="n">
        <f aca="false">IFERROR(__xludf.dummyfunction("""COMPUTED_VALUE"""),1)</f>
        <v>1</v>
      </c>
      <c r="E797" s="0" t="n">
        <f aca="false">IFERROR(__xludf.dummyfunction("""COMPUTED_VALUE"""),10)</f>
        <v>10</v>
      </c>
      <c r="F797" s="0" t="str">
        <f aca="false">IFERROR(__xludf.dummyfunction("filter(Formulas!$C:$C,Formulas!$A:$A=B797)"),"""formula"":[{""sku"":""1309"",""req"":4}]")</f>
        <v>"formula":[{"sku":"1309","req":4}]</v>
      </c>
      <c r="G797" s="0" t="n">
        <f aca="false">IFERROR(__xludf.dummyfunction("""COMPUTED_VALUE"""),1)</f>
        <v>1</v>
      </c>
      <c r="H797" s="21" t="str">
        <f aca="false">IFERROR(__xludf.dummyfunction("IF(D797,filter(Productos!AC:AC,Productos!A:A=B797),)"),"cocina")</f>
        <v>cocina</v>
      </c>
      <c r="I797" s="24" t="n">
        <f aca="false">IFERROR(__xludf.dummyfunction("""COMPUTED_VALUE"""),9900)</f>
        <v>9900</v>
      </c>
      <c r="K797" s="0" t="str">
        <f aca="false">IF(D797,"{""sku"":"""&amp;B797&amp;""", ""costo"":"&amp;C797&amp;", ""grupo"":"""&amp;A797&amp;""", ""lote"":"&amp;D797&amp;", ""tiempo"":"&amp;E797&amp;", "&amp;F797&amp;", ""vencimiento"":"&amp;G797&amp;IF(I797,", ""precio"":"&amp;I797,)&amp;", ""tipo"":"""&amp;H797&amp;"""},",)</f>
        <v>{"sku":"30005", "costo":10, "grupo":"11", "lote":1, "tiempo":10, "formula":[{"sku":"1309","req":4}], "vencimiento":1, "precio":9900, "tipo":"cocina"},</v>
      </c>
    </row>
    <row r="798" customFormat="false" ht="13" hidden="false" customHeight="false" outlineLevel="0" collapsed="false">
      <c r="A798" s="17" t="n">
        <v>11</v>
      </c>
      <c r="B798" s="0" t="n">
        <f aca="false">IFERROR(__xludf.dummyfunction("""COMPUTED_VALUE"""),30006)</f>
        <v>30006</v>
      </c>
      <c r="C798" s="24" t="n">
        <f aca="false">IFERROR(__xludf.dummyfunction("""COMPUTED_VALUE"""),10)</f>
        <v>10</v>
      </c>
      <c r="D798" s="0" t="n">
        <f aca="false">IFERROR(__xludf.dummyfunction("""COMPUTED_VALUE"""),1)</f>
        <v>1</v>
      </c>
      <c r="E798" s="0" t="n">
        <f aca="false">IFERROR(__xludf.dummyfunction("""COMPUTED_VALUE"""),10)</f>
        <v>10</v>
      </c>
      <c r="F798" s="0" t="str">
        <f aca="false">IFERROR(__xludf.dummyfunction("filter(Formulas!$C:$C,Formulas!$A:$A=B798)"),"""formula"":[{""sku"":""1309"",""req"":5}]")</f>
        <v>"formula":[{"sku":"1309","req":5}]</v>
      </c>
      <c r="G798" s="0" t="n">
        <f aca="false">IFERROR(__xludf.dummyfunction("""COMPUTED_VALUE"""),1)</f>
        <v>1</v>
      </c>
      <c r="H798" s="21" t="str">
        <f aca="false">IFERROR(__xludf.dummyfunction("IF(D798,filter(Productos!AC:AC,Productos!A:A=B798),)"),"cocina")</f>
        <v>cocina</v>
      </c>
      <c r="I798" s="24" t="n">
        <f aca="false">IFERROR(__xludf.dummyfunction("""COMPUTED_VALUE"""),12500)</f>
        <v>12500</v>
      </c>
      <c r="K798" s="0" t="str">
        <f aca="false">IF(D798,"{""sku"":"""&amp;B798&amp;""", ""costo"":"&amp;C798&amp;", ""grupo"":"""&amp;A798&amp;""", ""lote"":"&amp;D798&amp;", ""tiempo"":"&amp;E798&amp;", "&amp;F798&amp;", ""vencimiento"":"&amp;G798&amp;IF(I798,", ""precio"":"&amp;I798,)&amp;", ""tipo"":"""&amp;H798&amp;"""},",)</f>
        <v>{"sku":"30006", "costo":10, "grupo":"11", "lote":1, "tiempo":10, "formula":[{"sku":"1309","req":5}], "vencimiento":1, "precio":12500, "tipo":"cocina"},</v>
      </c>
    </row>
    <row r="799" customFormat="false" ht="13" hidden="false" customHeight="false" outlineLevel="0" collapsed="false">
      <c r="A799" s="17" t="n">
        <v>11</v>
      </c>
      <c r="B799" s="0" t="n">
        <f aca="false">IFERROR(__xludf.dummyfunction("""COMPUTED_VALUE"""),30007)</f>
        <v>30007</v>
      </c>
      <c r="C799" s="24" t="n">
        <f aca="false">IFERROR(__xludf.dummyfunction("""COMPUTED_VALUE"""),10)</f>
        <v>10</v>
      </c>
      <c r="D799" s="0" t="n">
        <f aca="false">IFERROR(__xludf.dummyfunction("""COMPUTED_VALUE"""),1)</f>
        <v>1</v>
      </c>
      <c r="E799" s="0" t="n">
        <f aca="false">IFERROR(__xludf.dummyfunction("""COMPUTED_VALUE"""),10)</f>
        <v>10</v>
      </c>
      <c r="F799" s="0" t="str">
        <f aca="false">IFERROR(__xludf.dummyfunction("filter(Formulas!$C:$C,Formulas!$A:$A=B799)"),"""formula"":[{""sku"":""1309"",""req"":2},{""sku"":""1307"",""req"":2}]")</f>
        <v>"formula":[{"sku":"1309","req":2},{"sku":"1307","req":2}]</v>
      </c>
      <c r="G799" s="0" t="n">
        <f aca="false">IFERROR(__xludf.dummyfunction("""COMPUTED_VALUE"""),1)</f>
        <v>1</v>
      </c>
      <c r="H799" s="21" t="str">
        <f aca="false">IFERROR(__xludf.dummyfunction("IF(D799,filter(Productos!AC:AC,Productos!A:A=B799),)"),"cocina")</f>
        <v>cocina</v>
      </c>
      <c r="I799" s="24" t="n">
        <f aca="false">IFERROR(__xludf.dummyfunction("""COMPUTED_VALUE"""),9900)</f>
        <v>9900</v>
      </c>
      <c r="K799" s="0" t="str">
        <f aca="false">IF(D799,"{""sku"":"""&amp;B799&amp;""", ""costo"":"&amp;C799&amp;", ""grupo"":"""&amp;A799&amp;""", ""lote"":"&amp;D799&amp;", ""tiempo"":"&amp;E799&amp;", "&amp;F799&amp;", ""vencimiento"":"&amp;G799&amp;IF(I799,", ""precio"":"&amp;I799,)&amp;", ""tipo"":"""&amp;H799&amp;"""},",)</f>
        <v>{"sku":"30007", "costo":10, "grupo":"11", "lote":1, "tiempo":10, "formula":[{"sku":"1309","req":2},{"sku":"1307","req":2}], "vencimiento":1, "precio":9900, "tipo":"cocina"},</v>
      </c>
    </row>
    <row r="800" customFormat="false" ht="13" hidden="false" customHeight="false" outlineLevel="0" collapsed="false">
      <c r="A800" s="17" t="n">
        <v>11</v>
      </c>
      <c r="B800" s="0" t="n">
        <f aca="false">IFERROR(__xludf.dummyfunction("""COMPUTED_VALUE"""),30008)</f>
        <v>30008</v>
      </c>
      <c r="C800" s="24" t="n">
        <f aca="false">IFERROR(__xludf.dummyfunction("""COMPUTED_VALUE"""),10)</f>
        <v>10</v>
      </c>
      <c r="D800" s="0" t="n">
        <f aca="false">IFERROR(__xludf.dummyfunction("""COMPUTED_VALUE"""),1)</f>
        <v>1</v>
      </c>
      <c r="E800" s="0" t="n">
        <f aca="false">IFERROR(__xludf.dummyfunction("""COMPUTED_VALUE"""),10)</f>
        <v>10</v>
      </c>
      <c r="F800" s="0" t="str">
        <f aca="false">IFERROR(__xludf.dummyfunction("filter(Formulas!$C:$C,Formulas!$A:$A=B800)"),"""formula"":[{""sku"":""1309"",""req"":3},{""sku"":""1307"",""req"":3}]")</f>
        <v>"formula":[{"sku":"1309","req":3},{"sku":"1307","req":3}]</v>
      </c>
      <c r="G800" s="0" t="n">
        <f aca="false">IFERROR(__xludf.dummyfunction("""COMPUTED_VALUE"""),1)</f>
        <v>1</v>
      </c>
      <c r="H800" s="21" t="str">
        <f aca="false">IFERROR(__xludf.dummyfunction("IF(D800,filter(Productos!AC:AC,Productos!A:A=B800),)"),"cocina")</f>
        <v>cocina</v>
      </c>
      <c r="I800" s="24" t="n">
        <f aca="false">IFERROR(__xludf.dummyfunction("""COMPUTED_VALUE"""),15990)</f>
        <v>15990</v>
      </c>
      <c r="K800" s="0" t="str">
        <f aca="false">IF(D800,"{""sku"":"""&amp;B800&amp;""", ""costo"":"&amp;C800&amp;", ""grupo"":"""&amp;A800&amp;""", ""lote"":"&amp;D800&amp;", ""tiempo"":"&amp;E800&amp;", "&amp;F800&amp;", ""vencimiento"":"&amp;G800&amp;IF(I800,", ""precio"":"&amp;I800,)&amp;", ""tipo"":"""&amp;H800&amp;"""},",)</f>
        <v>{"sku":"30008", "costo":10, "grupo":"11", "lote":1, "tiempo":10, "formula":[{"sku":"1309","req":3},{"sku":"1307","req":3}], "vencimiento":1, "precio":15990, "tipo":"cocina"},</v>
      </c>
    </row>
    <row r="801" customFormat="false" ht="13" hidden="false" customHeight="false" outlineLevel="0" collapsed="false">
      <c r="H801" s="21" t="str">
        <f aca="false">IFERROR(__xludf.dummyfunction("IF(D801,filter(Productos!AC:AC,Productos!A:A=B801),)"),"")</f>
        <v/>
      </c>
      <c r="K801" s="0" t="n">
        <f aca="false">IF(D801,"{""sku"":"""&amp;B801&amp;""", ""costo"":"&amp;C801&amp;", ""grupo"":"""&amp;A801&amp;""", ""lote"":"&amp;D801&amp;", ""tiempo"":"&amp;E801&amp;", "&amp;F801&amp;", ""vencimiento"":"&amp;G801&amp;IF(I801,", ""precio"":"&amp;I801,)&amp;", ""tipo"":"""&amp;H801&amp;"""},",)</f>
        <v>0</v>
      </c>
    </row>
    <row r="802" customFormat="false" ht="13" hidden="false" customHeight="false" outlineLevel="0" collapsed="false">
      <c r="A802" s="22" t="s">
        <v>260</v>
      </c>
      <c r="B802" s="16" t="s">
        <v>261</v>
      </c>
      <c r="C802" s="16"/>
      <c r="D802" s="16"/>
      <c r="E802" s="16"/>
      <c r="F802" s="16"/>
      <c r="G802" s="25"/>
      <c r="H802" s="21" t="str">
        <f aca="false">IFERROR(__xludf.dummyfunction("IF(D802,filter(Productos!AC:AC,Productos!A:A=B802),)"),"")</f>
        <v/>
      </c>
      <c r="K802" s="0" t="n">
        <f aca="false">IF(D802,"{""sku"":"""&amp;B802&amp;""", ""costo"":"&amp;C802&amp;", ""grupo"":"""&amp;A802&amp;""", ""lote"":"&amp;D802&amp;", ""tiempo"":"&amp;E802&amp;", "&amp;F802&amp;", ""vencimiento"":"&amp;G802&amp;IF(I802,", ""precio"":"&amp;I802,)&amp;", ""tipo"":"""&amp;H802&amp;"""},",)</f>
        <v>0</v>
      </c>
    </row>
    <row r="803" customFormat="false" ht="13" hidden="false" customHeight="false" outlineLevel="0" collapsed="false">
      <c r="A803" s="17" t="n">
        <v>12</v>
      </c>
      <c r="B803" s="17" t="n">
        <f aca="false">IFERROR(__xludf.dummyfunction("filter(Productos!$A$2:$A1017,INDIRECT(B802))"),1001)</f>
        <v>1001</v>
      </c>
      <c r="C803" s="24" t="n">
        <f aca="false">IFERROR(__xludf.dummyfunction("filter(Productos!$D$2:$D1017,INDIRECT(B802))"),3000)</f>
        <v>3000</v>
      </c>
      <c r="D803" s="17" t="n">
        <f aca="false">IFERROR(__xludf.dummyfunction("filter(Productos!$K$2:$L1017,INDIRECT(B802))"),10)</f>
        <v>10</v>
      </c>
      <c r="E803" s="17" t="n">
        <f aca="false">IFERROR(__xludf.dummyfunction("""COMPUTED_VALUE"""),240)</f>
        <v>240</v>
      </c>
      <c r="F803" s="16" t="str">
        <f aca="false">IFERROR(__xludf.dummyfunction("filter(Formulas!$C:$C,Formulas!$A:$A=B803)"),"""formula"":null")</f>
        <v>"formula":null</v>
      </c>
      <c r="G803" s="26" t="n">
        <f aca="false">IFERROR(__xludf.dummyfunction("filter(Productos!$H$2:$H1017,INDIRECT(B802))"),720)</f>
        <v>720</v>
      </c>
      <c r="H803" s="21" t="str">
        <f aca="false">IFERROR(__xludf.dummyfunction("IF(D803,filter(Productos!AC:AC,Productos!A:A=B803),)"),"fabrica")</f>
        <v>fabrica</v>
      </c>
      <c r="I803" s="24" t="str">
        <f aca="false">IFERROR(__xludf.dummyfunction("filter(Productos!$E$2:$E1017,INDIRECT(B802))"),"")</f>
        <v/>
      </c>
      <c r="K803" s="0" t="e">
        <f aca="false">IF(D803,"{""sku"":"""&amp;B803&amp;""", ""costo"":"&amp;C803&amp;", ""grupo"":"""&amp;A803&amp;""", ""lote"":"&amp;D803&amp;", ""tiempo"":"&amp;E803&amp;", "&amp;F803&amp;", ""vencimiento"":"&amp;G803&amp;IF(I803,", ""precio"":"&amp;I803,)&amp;", ""tipo"":"""&amp;H803&amp;"""},",)</f>
        <v>#VALUE!</v>
      </c>
    </row>
    <row r="804" customFormat="false" ht="13" hidden="false" customHeight="false" outlineLevel="0" collapsed="false">
      <c r="A804" s="16" t="n">
        <v>12</v>
      </c>
      <c r="B804" s="0" t="n">
        <f aca="false">IFERROR(__xludf.dummyfunction("""COMPUTED_VALUE"""),1003)</f>
        <v>1003</v>
      </c>
      <c r="C804" s="24" t="n">
        <f aca="false">IFERROR(__xludf.dummyfunction("""COMPUTED_VALUE"""),1290)</f>
        <v>1290</v>
      </c>
      <c r="D804" s="0" t="n">
        <f aca="false">IFERROR(__xludf.dummyfunction("""COMPUTED_VALUE"""),100)</f>
        <v>100</v>
      </c>
      <c r="E804" s="0" t="n">
        <f aca="false">IFERROR(__xludf.dummyfunction("""COMPUTED_VALUE"""),320)</f>
        <v>320</v>
      </c>
      <c r="F804" s="0" t="str">
        <f aca="false">IFERROR(__xludf.dummyfunction("filter(Formulas!$C:$C,Formulas!$A:$A=B804)"),"""formula"":null")</f>
        <v>"formula":null</v>
      </c>
      <c r="G804" s="0" t="n">
        <f aca="false">IFERROR(__xludf.dummyfunction("""COMPUTED_VALUE"""),720)</f>
        <v>720</v>
      </c>
      <c r="H804" s="21" t="str">
        <f aca="false">IFERROR(__xludf.dummyfunction("IF(D804,filter(Productos!AC:AC,Productos!A:A=B804),)"),"fabrica")</f>
        <v>fabrica</v>
      </c>
      <c r="I804" s="24" t="str">
        <f aca="false">IFERROR(__xludf.dummyfunction("""COMPUTED_VALUE"""),"")</f>
        <v/>
      </c>
      <c r="K804" s="0" t="e">
        <f aca="false">IF(D804,"{""sku"":"""&amp;B804&amp;""", ""costo"":"&amp;C804&amp;", ""grupo"":"""&amp;A804&amp;""", ""lote"":"&amp;D804&amp;", ""tiempo"":"&amp;E804&amp;", "&amp;F804&amp;", ""vencimiento"":"&amp;G804&amp;IF(I804,", ""precio"":"&amp;I804,)&amp;", ""tipo"":"""&amp;H804&amp;"""},",)</f>
        <v>#VALUE!</v>
      </c>
    </row>
    <row r="805" customFormat="false" ht="13" hidden="false" customHeight="false" outlineLevel="0" collapsed="false">
      <c r="A805" s="17" t="n">
        <v>12</v>
      </c>
      <c r="B805" s="0" t="n">
        <f aca="false">IFERROR(__xludf.dummyfunction("""COMPUTED_VALUE"""),1005)</f>
        <v>1005</v>
      </c>
      <c r="C805" s="24" t="n">
        <f aca="false">IFERROR(__xludf.dummyfunction("""COMPUTED_VALUE"""),9990)</f>
        <v>9990</v>
      </c>
      <c r="D805" s="0" t="n">
        <f aca="false">IFERROR(__xludf.dummyfunction("""COMPUTED_VALUE"""),5)</f>
        <v>5</v>
      </c>
      <c r="E805" s="0" t="n">
        <f aca="false">IFERROR(__xludf.dummyfunction("""COMPUTED_VALUE"""),260)</f>
        <v>260</v>
      </c>
      <c r="F805" s="0" t="str">
        <f aca="false">IFERROR(__xludf.dummyfunction("filter(Formulas!$C:$C,Formulas!$A:$A=B805)"),"""formula"":null")</f>
        <v>"formula":null</v>
      </c>
      <c r="G805" s="0" t="n">
        <f aca="false">IFERROR(__xludf.dummyfunction("""COMPUTED_VALUE"""),24)</f>
        <v>24</v>
      </c>
      <c r="H805" s="21" t="str">
        <f aca="false">IFERROR(__xludf.dummyfunction("IF(D805,filter(Productos!AC:AC,Productos!A:A=B805),)"),"fabrica")</f>
        <v>fabrica</v>
      </c>
      <c r="I805" s="24" t="str">
        <f aca="false">IFERROR(__xludf.dummyfunction("""COMPUTED_VALUE"""),"")</f>
        <v/>
      </c>
      <c r="K805" s="0" t="e">
        <f aca="false">IF(D805,"{""sku"":"""&amp;B805&amp;""", ""costo"":"&amp;C805&amp;", ""grupo"":"""&amp;A805&amp;""", ""lote"":"&amp;D805&amp;", ""tiempo"":"&amp;E805&amp;", "&amp;F805&amp;", ""vencimiento"":"&amp;G805&amp;IF(I805,", ""precio"":"&amp;I805,)&amp;", ""tipo"":"""&amp;H805&amp;"""},",)</f>
        <v>#VALUE!</v>
      </c>
    </row>
    <row r="806" customFormat="false" ht="13" hidden="false" customHeight="false" outlineLevel="0" collapsed="false">
      <c r="A806" s="16" t="n">
        <v>12</v>
      </c>
      <c r="B806" s="0" t="n">
        <f aca="false">IFERROR(__xludf.dummyfunction("""COMPUTED_VALUE"""),1009)</f>
        <v>1009</v>
      </c>
      <c r="C806" s="24" t="n">
        <f aca="false">IFERROR(__xludf.dummyfunction("""COMPUTED_VALUE"""),14370)</f>
        <v>14370</v>
      </c>
      <c r="D806" s="0" t="n">
        <f aca="false">IFERROR(__xludf.dummyfunction("""COMPUTED_VALUE"""),3)</f>
        <v>3</v>
      </c>
      <c r="E806" s="0" t="n">
        <f aca="false">IFERROR(__xludf.dummyfunction("""COMPUTED_VALUE"""),400)</f>
        <v>400</v>
      </c>
      <c r="F806" s="0" t="str">
        <f aca="false">IFERROR(__xludf.dummyfunction("filter(Formulas!$C:$C,Formulas!$A:$A=B806)"),"""formula"":null")</f>
        <v>"formula":null</v>
      </c>
      <c r="G806" s="0" t="n">
        <f aca="false">IFERROR(__xludf.dummyfunction("""COMPUTED_VALUE"""),15)</f>
        <v>15</v>
      </c>
      <c r="H806" s="21" t="str">
        <f aca="false">IFERROR(__xludf.dummyfunction("IF(D806,filter(Productos!AC:AC,Productos!A:A=B806),)"),"fabrica")</f>
        <v>fabrica</v>
      </c>
      <c r="I806" s="24" t="str">
        <f aca="false">IFERROR(__xludf.dummyfunction("""COMPUTED_VALUE"""),"")</f>
        <v/>
      </c>
      <c r="K806" s="0" t="e">
        <f aca="false">IF(D806,"{""sku"":"""&amp;B806&amp;""", ""costo"":"&amp;C806&amp;", ""grupo"":"""&amp;A806&amp;""", ""lote"":"&amp;D806&amp;", ""tiempo"":"&amp;E806&amp;", "&amp;F806&amp;", ""vencimiento"":"&amp;G806&amp;IF(I806,", ""precio"":"&amp;I806,)&amp;", ""tipo"":"""&amp;H806&amp;"""},",)</f>
        <v>#VALUE!</v>
      </c>
    </row>
    <row r="807" customFormat="false" ht="13" hidden="false" customHeight="false" outlineLevel="0" collapsed="false">
      <c r="A807" s="17" t="n">
        <v>12</v>
      </c>
      <c r="B807" s="0" t="n">
        <f aca="false">IFERROR(__xludf.dummyfunction("""COMPUTED_VALUE"""),1011)</f>
        <v>1011</v>
      </c>
      <c r="C807" s="24" t="n">
        <f aca="false">IFERROR(__xludf.dummyfunction("""COMPUTED_VALUE"""),990)</f>
        <v>990</v>
      </c>
      <c r="D807" s="0" t="n">
        <f aca="false">IFERROR(__xludf.dummyfunction("""COMPUTED_VALUE"""),4)</f>
        <v>4</v>
      </c>
      <c r="E807" s="0" t="n">
        <f aca="false">IFERROR(__xludf.dummyfunction("""COMPUTED_VALUE"""),120)</f>
        <v>120</v>
      </c>
      <c r="F807" s="0" t="str">
        <f aca="false">IFERROR(__xludf.dummyfunction("filter(Formulas!$C:$C,Formulas!$A:$A=B807)"),"""formula"":null")</f>
        <v>"formula":null</v>
      </c>
      <c r="G807" s="0" t="n">
        <f aca="false">IFERROR(__xludf.dummyfunction("""COMPUTED_VALUE"""),168)</f>
        <v>168</v>
      </c>
      <c r="H807" s="21" t="str">
        <f aca="false">IFERROR(__xludf.dummyfunction("IF(D807,filter(Productos!AC:AC,Productos!A:A=B807),)"),"fabrica")</f>
        <v>fabrica</v>
      </c>
      <c r="I807" s="24" t="str">
        <f aca="false">IFERROR(__xludf.dummyfunction("""COMPUTED_VALUE"""),"")</f>
        <v/>
      </c>
      <c r="K807" s="0" t="e">
        <f aca="false">IF(D807,"{""sku"":"""&amp;B807&amp;""", ""costo"":"&amp;C807&amp;", ""grupo"":"""&amp;A807&amp;""", ""lote"":"&amp;D807&amp;", ""tiempo"":"&amp;E807&amp;", "&amp;F807&amp;", ""vencimiento"":"&amp;G807&amp;IF(I807,", ""precio"":"&amp;I807,)&amp;", ""tipo"":"""&amp;H807&amp;"""},",)</f>
        <v>#VALUE!</v>
      </c>
    </row>
    <row r="808" customFormat="false" ht="13" hidden="false" customHeight="false" outlineLevel="0" collapsed="false">
      <c r="A808" s="16" t="n">
        <v>12</v>
      </c>
      <c r="B808" s="0" t="n">
        <f aca="false">IFERROR(__xludf.dummyfunction("""COMPUTED_VALUE"""),1012)</f>
        <v>1012</v>
      </c>
      <c r="C808" s="24" t="n">
        <f aca="false">IFERROR(__xludf.dummyfunction("""COMPUTED_VALUE"""),9990)</f>
        <v>9990</v>
      </c>
      <c r="D808" s="0" t="n">
        <f aca="false">IFERROR(__xludf.dummyfunction("""COMPUTED_VALUE"""),7)</f>
        <v>7</v>
      </c>
      <c r="E808" s="0" t="n">
        <f aca="false">IFERROR(__xludf.dummyfunction("""COMPUTED_VALUE"""),150)</f>
        <v>150</v>
      </c>
      <c r="F808" s="0" t="str">
        <f aca="false">IFERROR(__xludf.dummyfunction("filter(Formulas!$C:$C,Formulas!$A:$A=B808)"),"""formula"":null")</f>
        <v>"formula":null</v>
      </c>
      <c r="G808" s="0" t="n">
        <f aca="false">IFERROR(__xludf.dummyfunction("""COMPUTED_VALUE"""),72)</f>
        <v>72</v>
      </c>
      <c r="H808" s="21" t="str">
        <f aca="false">IFERROR(__xludf.dummyfunction("IF(D808,filter(Productos!AC:AC,Productos!A:A=B808),)"),"fabrica")</f>
        <v>fabrica</v>
      </c>
      <c r="I808" s="24" t="str">
        <f aca="false">IFERROR(__xludf.dummyfunction("""COMPUTED_VALUE"""),"")</f>
        <v/>
      </c>
      <c r="K808" s="0" t="e">
        <f aca="false">IF(D808,"{""sku"":"""&amp;B808&amp;""", ""costo"":"&amp;C808&amp;", ""grupo"":"""&amp;A808&amp;""", ""lote"":"&amp;D808&amp;", ""tiempo"":"&amp;E808&amp;", "&amp;F808&amp;", ""vencimiento"":"&amp;G808&amp;IF(I808,", ""precio"":"&amp;I808,)&amp;", ""tipo"":"""&amp;H808&amp;"""},",)</f>
        <v>#VALUE!</v>
      </c>
    </row>
    <row r="809" customFormat="false" ht="13" hidden="false" customHeight="false" outlineLevel="0" collapsed="false">
      <c r="A809" s="17" t="n">
        <v>12</v>
      </c>
      <c r="B809" s="0" t="n">
        <f aca="false">IFERROR(__xludf.dummyfunction("""COMPUTED_VALUE"""),1015)</f>
        <v>1015</v>
      </c>
      <c r="C809" s="24" t="n">
        <f aca="false">IFERROR(__xludf.dummyfunction("""COMPUTED_VALUE"""),350)</f>
        <v>350</v>
      </c>
      <c r="D809" s="0" t="n">
        <f aca="false">IFERROR(__xludf.dummyfunction("""COMPUTED_VALUE"""),4)</f>
        <v>4</v>
      </c>
      <c r="E809" s="0" t="n">
        <f aca="false">IFERROR(__xludf.dummyfunction("""COMPUTED_VALUE"""),400)</f>
        <v>400</v>
      </c>
      <c r="F809" s="0" t="str">
        <f aca="false">IFERROR(__xludf.dummyfunction("filter(Formulas!$C:$C,Formulas!$A:$A=B809)"),"""formula"":null")</f>
        <v>"formula":null</v>
      </c>
      <c r="G809" s="0" t="n">
        <f aca="false">IFERROR(__xludf.dummyfunction("""COMPUTED_VALUE"""),30)</f>
        <v>30</v>
      </c>
      <c r="H809" s="21" t="str">
        <f aca="false">IFERROR(__xludf.dummyfunction("IF(D809,filter(Productos!AC:AC,Productos!A:A=B809),)"),"fabrica")</f>
        <v>fabrica</v>
      </c>
      <c r="I809" s="24" t="str">
        <f aca="false">IFERROR(__xludf.dummyfunction("""COMPUTED_VALUE"""),"")</f>
        <v/>
      </c>
      <c r="K809" s="0" t="e">
        <f aca="false">IF(D809,"{""sku"":"""&amp;B809&amp;""", ""costo"":"&amp;C809&amp;", ""grupo"":"""&amp;A809&amp;""", ""lote"":"&amp;D809&amp;", ""tiempo"":"&amp;E809&amp;", "&amp;F809&amp;", ""vencimiento"":"&amp;G809&amp;IF(I809,", ""precio"":"&amp;I809,)&amp;", ""tipo"":"""&amp;H809&amp;"""},",)</f>
        <v>#VALUE!</v>
      </c>
    </row>
    <row r="810" customFormat="false" ht="13" hidden="false" customHeight="false" outlineLevel="0" collapsed="false">
      <c r="A810" s="16" t="n">
        <v>12</v>
      </c>
      <c r="B810" s="0" t="n">
        <f aca="false">IFERROR(__xludf.dummyfunction("""COMPUTED_VALUE"""),1016)</f>
        <v>1016</v>
      </c>
      <c r="C810" s="24" t="n">
        <f aca="false">IFERROR(__xludf.dummyfunction("""COMPUTED_VALUE"""),2790)</f>
        <v>2790</v>
      </c>
      <c r="D810" s="0" t="n">
        <f aca="false">IFERROR(__xludf.dummyfunction("""COMPUTED_VALUE"""),8)</f>
        <v>8</v>
      </c>
      <c r="E810" s="0" t="n">
        <f aca="false">IFERROR(__xludf.dummyfunction("""COMPUTED_VALUE"""),600)</f>
        <v>600</v>
      </c>
      <c r="F810" s="0" t="str">
        <f aca="false">IFERROR(__xludf.dummyfunction("filter(Formulas!$C:$C,Formulas!$A:$A=B810)"),"""formula"":null")</f>
        <v>"formula":null</v>
      </c>
      <c r="G810" s="0" t="n">
        <f aca="false">IFERROR(__xludf.dummyfunction("""COMPUTED_VALUE"""),240)</f>
        <v>240</v>
      </c>
      <c r="H810" s="21" t="str">
        <f aca="false">IFERROR(__xludf.dummyfunction("IF(D810,filter(Productos!AC:AC,Productos!A:A=B810),)"),"fabrica")</f>
        <v>fabrica</v>
      </c>
      <c r="I810" s="0" t="str">
        <f aca="false">IFERROR(__xludf.dummyfunction("""COMPUTED_VALUE"""),"")</f>
        <v/>
      </c>
      <c r="K810" s="0" t="e">
        <f aca="false">IF(D810,"{""sku"":"""&amp;B810&amp;""", ""costo"":"&amp;C810&amp;", ""grupo"":"""&amp;A810&amp;""", ""lote"":"&amp;D810&amp;", ""tiempo"":"&amp;E810&amp;", "&amp;F810&amp;", ""vencimiento"":"&amp;G810&amp;IF(I810,", ""precio"":"&amp;I810,)&amp;", ""tipo"":"""&amp;H810&amp;"""},",)</f>
        <v>#VALUE!</v>
      </c>
    </row>
    <row r="811" customFormat="false" ht="13" hidden="false" customHeight="false" outlineLevel="0" collapsed="false">
      <c r="A811" s="17" t="n">
        <v>12</v>
      </c>
      <c r="B811" s="0" t="n">
        <f aca="false">IFERROR(__xludf.dummyfunction("""COMPUTED_VALUE"""),1101)</f>
        <v>1101</v>
      </c>
      <c r="C811" s="24" t="n">
        <f aca="false">IFERROR(__xludf.dummyfunction("""COMPUTED_VALUE"""),500)</f>
        <v>500</v>
      </c>
      <c r="D811" s="0" t="n">
        <f aca="false">IFERROR(__xludf.dummyfunction("""COMPUTED_VALUE"""),10)</f>
        <v>10</v>
      </c>
      <c r="E811" s="0" t="n">
        <f aca="false">IFERROR(__xludf.dummyfunction("""COMPUTED_VALUE"""),40)</f>
        <v>40</v>
      </c>
      <c r="F811" s="0" t="str">
        <f aca="false">IFERROR(__xludf.dummyfunction("filter(Formulas!$C:$C,Formulas!$A:$A=B811)"),"""formula"":[{""sku"":""1001"",""req"":8},{""sku"":""1003"",""req"":3},{""sku"":""1004"",""req"":2},{""sku"":""1002"",""req"":4}]")</f>
        <v>"formula":[{"sku":"1001","req":8},{"sku":"1003","req":3},{"sku":"1004","req":2},{"sku":"1002","req":4}]</v>
      </c>
      <c r="G811" s="0" t="n">
        <f aca="false">IFERROR(__xludf.dummyfunction("""COMPUTED_VALUE"""),3)</f>
        <v>3</v>
      </c>
      <c r="H811" s="21" t="str">
        <f aca="false">IFERROR(__xludf.dummyfunction("IF(D811,filter(Productos!AC:AC,Productos!A:A=B811),)"),"fabrica")</f>
        <v>fabrica</v>
      </c>
      <c r="I811" s="24" t="str">
        <f aca="false">IFERROR(__xludf.dummyfunction("""COMPUTED_VALUE"""),"")</f>
        <v/>
      </c>
      <c r="K811" s="0" t="e">
        <f aca="false">IF(D811,"{""sku"":"""&amp;B811&amp;""", ""costo"":"&amp;C811&amp;", ""grupo"":"""&amp;A811&amp;""", ""lote"":"&amp;D811&amp;", ""tiempo"":"&amp;E811&amp;", "&amp;F811&amp;", ""vencimiento"":"&amp;G811&amp;IF(I811,", ""precio"":"&amp;I811,)&amp;", ""tipo"":"""&amp;H811&amp;"""},",)</f>
        <v>#VALUE!</v>
      </c>
    </row>
    <row r="812" customFormat="false" ht="13" hidden="false" customHeight="false" outlineLevel="0" collapsed="false">
      <c r="A812" s="16" t="n">
        <v>12</v>
      </c>
      <c r="B812" s="0" t="n">
        <f aca="false">IFERROR(__xludf.dummyfunction("""COMPUTED_VALUE"""),1105)</f>
        <v>1105</v>
      </c>
      <c r="C812" s="24" t="n">
        <f aca="false">IFERROR(__xludf.dummyfunction("""COMPUTED_VALUE"""),10)</f>
        <v>10</v>
      </c>
      <c r="D812" s="0" t="n">
        <f aca="false">IFERROR(__xludf.dummyfunction("""COMPUTED_VALUE"""),10)</f>
        <v>10</v>
      </c>
      <c r="E812" s="0" t="n">
        <f aca="false">IFERROR(__xludf.dummyfunction("""COMPUTED_VALUE"""),10)</f>
        <v>10</v>
      </c>
      <c r="F812" s="0" t="str">
        <f aca="false">IFERROR(__xludf.dummyfunction("filter(Formulas!$C:$C,Formulas!$A:$A=B812)"),"""formula"":[{""sku"":""1005"",""req"":1}]")</f>
        <v>"formula":[{"sku":"1005","req":1}]</v>
      </c>
      <c r="G812" s="0" t="n">
        <f aca="false">IFERROR(__xludf.dummyfunction("""COMPUTED_VALUE"""),3)</f>
        <v>3</v>
      </c>
      <c r="H812" s="21" t="str">
        <f aca="false">IFERROR(__xludf.dummyfunction("IF(D812,filter(Productos!AC:AC,Productos!A:A=B812),)"),"fabrica")</f>
        <v>fabrica</v>
      </c>
      <c r="I812" s="24" t="str">
        <f aca="false">IFERROR(__xludf.dummyfunction("""COMPUTED_VALUE"""),"")</f>
        <v/>
      </c>
      <c r="K812" s="0" t="e">
        <f aca="false">IF(D812,"{""sku"":"""&amp;B812&amp;""", ""costo"":"&amp;C812&amp;", ""grupo"":"""&amp;A812&amp;""", ""lote"":"&amp;D812&amp;", ""tiempo"":"&amp;E812&amp;", "&amp;F812&amp;", ""vencimiento"":"&amp;G812&amp;IF(I812,", ""precio"":"&amp;I812,)&amp;", ""tipo"":"""&amp;H812&amp;"""},",)</f>
        <v>#VALUE!</v>
      </c>
    </row>
    <row r="813" customFormat="false" ht="13" hidden="false" customHeight="false" outlineLevel="0" collapsed="false">
      <c r="A813" s="17" t="n">
        <v>12</v>
      </c>
      <c r="B813" s="0" t="n">
        <f aca="false">IFERROR(__xludf.dummyfunction("""COMPUTED_VALUE"""),1106)</f>
        <v>1106</v>
      </c>
      <c r="C813" s="24" t="n">
        <f aca="false">IFERROR(__xludf.dummyfunction("""COMPUTED_VALUE"""),700)</f>
        <v>700</v>
      </c>
      <c r="D813" s="0" t="n">
        <f aca="false">IFERROR(__xludf.dummyfunction("""COMPUTED_VALUE"""),100)</f>
        <v>100</v>
      </c>
      <c r="E813" s="0" t="n">
        <f aca="false">IFERROR(__xludf.dummyfunction("""COMPUTED_VALUE"""),30)</f>
        <v>30</v>
      </c>
      <c r="F813" s="0" t="str">
        <f aca="false">IFERROR(__xludf.dummyfunction("filter(Formulas!$C:$C,Formulas!$A:$A=B813)"),"""formula"":[{""sku"":""1006"",""req"":1}]")</f>
        <v>"formula":[{"sku":"1006","req":1}]</v>
      </c>
      <c r="G813" s="0" t="n">
        <f aca="false">IFERROR(__xludf.dummyfunction("""COMPUTED_VALUE"""),4)</f>
        <v>4</v>
      </c>
      <c r="H813" s="21" t="str">
        <f aca="false">IFERROR(__xludf.dummyfunction("IF(D813,filter(Productos!AC:AC,Productos!A:A=B813),)"),"fabrica")</f>
        <v>fabrica</v>
      </c>
      <c r="I813" s="24" t="str">
        <f aca="false">IFERROR(__xludf.dummyfunction("""COMPUTED_VALUE"""),"")</f>
        <v/>
      </c>
      <c r="K813" s="0" t="e">
        <f aca="false">IF(D813,"{""sku"":"""&amp;B813&amp;""", ""costo"":"&amp;C813&amp;", ""grupo"":"""&amp;A813&amp;""", ""lote"":"&amp;D813&amp;", ""tiempo"":"&amp;E813&amp;", "&amp;F813&amp;", ""vencimiento"":"&amp;G813&amp;IF(I813,", ""precio"":"&amp;I813,)&amp;", ""tipo"":"""&amp;H813&amp;"""},",)</f>
        <v>#VALUE!</v>
      </c>
    </row>
    <row r="814" customFormat="false" ht="13" hidden="false" customHeight="false" outlineLevel="0" collapsed="false">
      <c r="A814" s="16" t="n">
        <v>12</v>
      </c>
      <c r="B814" s="0" t="n">
        <f aca="false">IFERROR(__xludf.dummyfunction("""COMPUTED_VALUE"""),1107)</f>
        <v>1107</v>
      </c>
      <c r="C814" s="24" t="n">
        <f aca="false">IFERROR(__xludf.dummyfunction("""COMPUTED_VALUE"""),10)</f>
        <v>10</v>
      </c>
      <c r="D814" s="0" t="n">
        <f aca="false">IFERROR(__xludf.dummyfunction("""COMPUTED_VALUE"""),11)</f>
        <v>11</v>
      </c>
      <c r="E814" s="0" t="n">
        <f aca="false">IFERROR(__xludf.dummyfunction("""COMPUTED_VALUE"""),20)</f>
        <v>20</v>
      </c>
      <c r="F814" s="0" t="str">
        <f aca="false">IFERROR(__xludf.dummyfunction("filter(Formulas!$C:$C,Formulas!$A:$A=B814)"),"""formula"":[{""sku"":""1007"",""req"":1}]")</f>
        <v>"formula":[{"sku":"1007","req":1}]</v>
      </c>
      <c r="G814" s="0" t="n">
        <f aca="false">IFERROR(__xludf.dummyfunction("""COMPUTED_VALUE"""),2)</f>
        <v>2</v>
      </c>
      <c r="H814" s="21" t="str">
        <f aca="false">IFERROR(__xludf.dummyfunction("IF(D814,filter(Productos!AC:AC,Productos!A:A=B814),)"),"fabrica")</f>
        <v>fabrica</v>
      </c>
      <c r="I814" s="24" t="str">
        <f aca="false">IFERROR(__xludf.dummyfunction("""COMPUTED_VALUE"""),"")</f>
        <v/>
      </c>
      <c r="K814" s="0" t="e">
        <f aca="false">IF(D814,"{""sku"":"""&amp;B814&amp;""", ""costo"":"&amp;C814&amp;", ""grupo"":"""&amp;A814&amp;""", ""lote"":"&amp;D814&amp;", ""tiempo"":"&amp;E814&amp;", "&amp;F814&amp;", ""vencimiento"":"&amp;G814&amp;IF(I814,", ""precio"":"&amp;I814,)&amp;", ""tipo"":"""&amp;H814&amp;"""},",)</f>
        <v>#VALUE!</v>
      </c>
    </row>
    <row r="815" customFormat="false" ht="13" hidden="false" customHeight="false" outlineLevel="0" collapsed="false">
      <c r="A815" s="17" t="n">
        <v>12</v>
      </c>
      <c r="B815" s="0" t="n">
        <f aca="false">IFERROR(__xludf.dummyfunction("""COMPUTED_VALUE"""),1108)</f>
        <v>1108</v>
      </c>
      <c r="C815" s="24" t="n">
        <f aca="false">IFERROR(__xludf.dummyfunction("""COMPUTED_VALUE"""),10)</f>
        <v>10</v>
      </c>
      <c r="D815" s="0" t="n">
        <f aca="false">IFERROR(__xludf.dummyfunction("""COMPUTED_VALUE"""),6)</f>
        <v>6</v>
      </c>
      <c r="E815" s="0" t="n">
        <f aca="false">IFERROR(__xludf.dummyfunction("""COMPUTED_VALUE"""),20)</f>
        <v>20</v>
      </c>
      <c r="F815" s="0" t="str">
        <f aca="false">IFERROR(__xludf.dummyfunction("filter(Formulas!$C:$C,Formulas!$A:$A=B815)"),"""formula"":[{""sku"":""1008"",""req"":1}]")</f>
        <v>"formula":[{"sku":"1008","req":1}]</v>
      </c>
      <c r="G815" s="0" t="n">
        <f aca="false">IFERROR(__xludf.dummyfunction("""COMPUTED_VALUE"""),4)</f>
        <v>4</v>
      </c>
      <c r="H815" s="21" t="str">
        <f aca="false">IFERROR(__xludf.dummyfunction("IF(D815,filter(Productos!AC:AC,Productos!A:A=B815),)"),"fabrica")</f>
        <v>fabrica</v>
      </c>
      <c r="I815" s="24" t="str">
        <f aca="false">IFERROR(__xludf.dummyfunction("""COMPUTED_VALUE"""),"")</f>
        <v/>
      </c>
      <c r="K815" s="0" t="e">
        <f aca="false">IF(D815,"{""sku"":"""&amp;B815&amp;""", ""costo"":"&amp;C815&amp;", ""grupo"":"""&amp;A815&amp;""", ""lote"":"&amp;D815&amp;", ""tiempo"":"&amp;E815&amp;", "&amp;F815&amp;", ""vencimiento"":"&amp;G815&amp;IF(I815,", ""precio"":"&amp;I815,)&amp;", ""tipo"":"""&amp;H815&amp;"""},",)</f>
        <v>#VALUE!</v>
      </c>
    </row>
    <row r="816" customFormat="false" ht="13" hidden="false" customHeight="false" outlineLevel="0" collapsed="false">
      <c r="A816" s="16" t="n">
        <v>12</v>
      </c>
      <c r="B816" s="0" t="n">
        <f aca="false">IFERROR(__xludf.dummyfunction("""COMPUTED_VALUE"""),1109)</f>
        <v>1109</v>
      </c>
      <c r="C816" s="24" t="n">
        <f aca="false">IFERROR(__xludf.dummyfunction("""COMPUTED_VALUE"""),10)</f>
        <v>10</v>
      </c>
      <c r="D816" s="0" t="n">
        <f aca="false">IFERROR(__xludf.dummyfunction("""COMPUTED_VALUE"""),12)</f>
        <v>12</v>
      </c>
      <c r="E816" s="0" t="n">
        <f aca="false">IFERROR(__xludf.dummyfunction("""COMPUTED_VALUE"""),30)</f>
        <v>30</v>
      </c>
      <c r="F816" s="0" t="str">
        <f aca="false">IFERROR(__xludf.dummyfunction("filter(Formulas!$C:$C,Formulas!$A:$A=B816)"),"""formula"":[{""sku"":""1009"",""req"":1}]")</f>
        <v>"formula":[{"sku":"1009","req":1}]</v>
      </c>
      <c r="G816" s="0" t="n">
        <f aca="false">IFERROR(__xludf.dummyfunction("""COMPUTED_VALUE"""),1.5)</f>
        <v>1.5</v>
      </c>
      <c r="H816" s="21" t="str">
        <f aca="false">IFERROR(__xludf.dummyfunction("IF(D816,filter(Productos!AC:AC,Productos!A:A=B816),)"),"fabrica")</f>
        <v>fabrica</v>
      </c>
      <c r="I816" s="24" t="str">
        <f aca="false">IFERROR(__xludf.dummyfunction("""COMPUTED_VALUE"""),"")</f>
        <v/>
      </c>
      <c r="K816" s="0" t="e">
        <f aca="false">IF(D816,"{""sku"":"""&amp;B816&amp;""", ""costo"":"&amp;C816&amp;", ""grupo"":"""&amp;A816&amp;""", ""lote"":"&amp;D816&amp;", ""tiempo"":"&amp;E816&amp;", "&amp;F816&amp;", ""vencimiento"":"&amp;G816&amp;IF(I816,", ""precio"":"&amp;I816,)&amp;", ""tipo"":"""&amp;H816&amp;"""},",)</f>
        <v>#VALUE!</v>
      </c>
    </row>
    <row r="817" customFormat="false" ht="13" hidden="false" customHeight="false" outlineLevel="0" collapsed="false">
      <c r="A817" s="17" t="n">
        <v>12</v>
      </c>
      <c r="B817" s="0" t="n">
        <f aca="false">IFERROR(__xludf.dummyfunction("""COMPUTED_VALUE"""),1110)</f>
        <v>1110</v>
      </c>
      <c r="C817" s="24" t="n">
        <f aca="false">IFERROR(__xludf.dummyfunction("""COMPUTED_VALUE"""),10)</f>
        <v>10</v>
      </c>
      <c r="D817" s="0" t="n">
        <f aca="false">IFERROR(__xludf.dummyfunction("""COMPUTED_VALUE"""),6)</f>
        <v>6</v>
      </c>
      <c r="E817" s="0" t="n">
        <f aca="false">IFERROR(__xludf.dummyfunction("""COMPUTED_VALUE"""),10)</f>
        <v>10</v>
      </c>
      <c r="F817" s="0" t="str">
        <f aca="false">IFERROR(__xludf.dummyfunction("filter(Formulas!$C:$C,Formulas!$A:$A=B817)"),"""formula"":[{""sku"":""1010"",""req"":1}]")</f>
        <v>"formula":[{"sku":"1010","req":1}]</v>
      </c>
      <c r="G817" s="0" t="n">
        <f aca="false">IFERROR(__xludf.dummyfunction("""COMPUTED_VALUE"""),2)</f>
        <v>2</v>
      </c>
      <c r="H817" s="21" t="str">
        <f aca="false">IFERROR(__xludf.dummyfunction("IF(D817,filter(Productos!AC:AC,Productos!A:A=B817),)"),"fabrica")</f>
        <v>fabrica</v>
      </c>
      <c r="I817" s="24" t="str">
        <f aca="false">IFERROR(__xludf.dummyfunction("""COMPUTED_VALUE"""),"")</f>
        <v/>
      </c>
      <c r="K817" s="0" t="e">
        <f aca="false">IF(D817,"{""sku"":"""&amp;B817&amp;""", ""costo"":"&amp;C817&amp;", ""grupo"":"""&amp;A817&amp;""", ""lote"":"&amp;D817&amp;", ""tiempo"":"&amp;E817&amp;", "&amp;F817&amp;", ""vencimiento"":"&amp;G817&amp;IF(I817,", ""precio"":"&amp;I817,)&amp;", ""tipo"":"""&amp;H817&amp;"""},",)</f>
        <v>#VALUE!</v>
      </c>
    </row>
    <row r="818" customFormat="false" ht="13" hidden="false" customHeight="false" outlineLevel="0" collapsed="false">
      <c r="A818" s="16" t="n">
        <v>12</v>
      </c>
      <c r="B818" s="0" t="n">
        <f aca="false">IFERROR(__xludf.dummyfunction("""COMPUTED_VALUE"""),1111)</f>
        <v>1111</v>
      </c>
      <c r="C818" s="24" t="n">
        <f aca="false">IFERROR(__xludf.dummyfunction("""COMPUTED_VALUE"""),120)</f>
        <v>120</v>
      </c>
      <c r="D818" s="0" t="n">
        <f aca="false">IFERROR(__xludf.dummyfunction("""COMPUTED_VALUE"""),2)</f>
        <v>2</v>
      </c>
      <c r="E818" s="0" t="n">
        <f aca="false">IFERROR(__xludf.dummyfunction("""COMPUTED_VALUE"""),30)</f>
        <v>30</v>
      </c>
      <c r="F818" s="0" t="str">
        <f aca="false">IFERROR(__xludf.dummyfunction("filter(Formulas!$C:$C,Formulas!$A:$A=B818)"),"""formula"":[{""sku"":""1011"",""req"":2}]")</f>
        <v>"formula":[{"sku":"1011","req":2}]</v>
      </c>
      <c r="G818" s="0" t="n">
        <f aca="false">IFERROR(__xludf.dummyfunction("""COMPUTED_VALUE"""),12)</f>
        <v>12</v>
      </c>
      <c r="H818" s="21" t="str">
        <f aca="false">IFERROR(__xludf.dummyfunction("IF(D818,filter(Productos!AC:AC,Productos!A:A=B818),)"),"fabrica")</f>
        <v>fabrica</v>
      </c>
      <c r="I818" s="24" t="str">
        <f aca="false">IFERROR(__xludf.dummyfunction("""COMPUTED_VALUE"""),"")</f>
        <v/>
      </c>
      <c r="K818" s="0" t="e">
        <f aca="false">IF(D818,"{""sku"":"""&amp;B818&amp;""", ""costo"":"&amp;C818&amp;", ""grupo"":"""&amp;A818&amp;""", ""lote"":"&amp;D818&amp;", ""tiempo"":"&amp;E818&amp;", "&amp;F818&amp;", ""vencimiento"":"&amp;G818&amp;IF(I818,", ""precio"":"&amp;I818,)&amp;", ""tipo"":"""&amp;H818&amp;"""},",)</f>
        <v>#VALUE!</v>
      </c>
    </row>
    <row r="819" customFormat="false" ht="13" hidden="false" customHeight="false" outlineLevel="0" collapsed="false">
      <c r="A819" s="17" t="n">
        <v>12</v>
      </c>
      <c r="B819" s="0" t="n">
        <f aca="false">IFERROR(__xludf.dummyfunction("""COMPUTED_VALUE"""),1112)</f>
        <v>1112</v>
      </c>
      <c r="C819" s="24" t="n">
        <f aca="false">IFERROR(__xludf.dummyfunction("""COMPUTED_VALUE"""),10)</f>
        <v>10</v>
      </c>
      <c r="D819" s="0" t="n">
        <f aca="false">IFERROR(__xludf.dummyfunction("""COMPUTED_VALUE"""),20)</f>
        <v>20</v>
      </c>
      <c r="E819" s="0" t="n">
        <f aca="false">IFERROR(__xludf.dummyfunction("""COMPUTED_VALUE"""),10)</f>
        <v>10</v>
      </c>
      <c r="F819" s="0" t="str">
        <f aca="false">IFERROR(__xludf.dummyfunction("filter(Formulas!$C:$C,Formulas!$A:$A=B819)"),"""formula"":[{""sku"":""1012"",""req"":1}]")</f>
        <v>"formula":[{"sku":"1012","req":1}]</v>
      </c>
      <c r="G819" s="0" t="n">
        <f aca="false">IFERROR(__xludf.dummyfunction("""COMPUTED_VALUE"""),24)</f>
        <v>24</v>
      </c>
      <c r="H819" s="21" t="str">
        <f aca="false">IFERROR(__xludf.dummyfunction("IF(D819,filter(Productos!AC:AC,Productos!A:A=B819),)"),"fabrica")</f>
        <v>fabrica</v>
      </c>
      <c r="I819" s="24" t="str">
        <f aca="false">IFERROR(__xludf.dummyfunction("""COMPUTED_VALUE"""),"")</f>
        <v/>
      </c>
      <c r="K819" s="0" t="e">
        <f aca="false">IF(D819,"{""sku"":"""&amp;B819&amp;""", ""costo"":"&amp;C819&amp;", ""grupo"":"""&amp;A819&amp;""", ""lote"":"&amp;D819&amp;", ""tiempo"":"&amp;E819&amp;", "&amp;F819&amp;", ""vencimiento"":"&amp;G819&amp;IF(I819,", ""precio"":"&amp;I819,)&amp;", ""tipo"":"""&amp;H819&amp;"""},",)</f>
        <v>#VALUE!</v>
      </c>
    </row>
    <row r="820" customFormat="false" ht="13" hidden="false" customHeight="false" outlineLevel="0" collapsed="false">
      <c r="A820" s="16" t="n">
        <v>12</v>
      </c>
      <c r="B820" s="0" t="n">
        <f aca="false">IFERROR(__xludf.dummyfunction("""COMPUTED_VALUE"""),1114)</f>
        <v>1114</v>
      </c>
      <c r="C820" s="24" t="n">
        <f aca="false">IFERROR(__xludf.dummyfunction("""COMPUTED_VALUE"""),10)</f>
        <v>10</v>
      </c>
      <c r="D820" s="0" t="n">
        <f aca="false">IFERROR(__xludf.dummyfunction("""COMPUTED_VALUE"""),4)</f>
        <v>4</v>
      </c>
      <c r="E820" s="0" t="n">
        <f aca="false">IFERROR(__xludf.dummyfunction("""COMPUTED_VALUE"""),10)</f>
        <v>10</v>
      </c>
      <c r="F820" s="0" t="str">
        <f aca="false">IFERROR(__xludf.dummyfunction("filter(Formulas!$C:$C,Formulas!$A:$A=B820)"),"""formula"":[{""sku"":""1014"",""req"":1}]")</f>
        <v>"formula":[{"sku":"1014","req":1}]</v>
      </c>
      <c r="G820" s="0" t="n">
        <f aca="false">IFERROR(__xludf.dummyfunction("""COMPUTED_VALUE"""),2)</f>
        <v>2</v>
      </c>
      <c r="H820" s="21" t="str">
        <f aca="false">IFERROR(__xludf.dummyfunction("IF(D820,filter(Productos!AC:AC,Productos!A:A=B820),)"),"fabrica")</f>
        <v>fabrica</v>
      </c>
      <c r="I820" s="24" t="str">
        <f aca="false">IFERROR(__xludf.dummyfunction("""COMPUTED_VALUE"""),"")</f>
        <v/>
      </c>
      <c r="K820" s="0" t="e">
        <f aca="false">IF(D820,"{""sku"":"""&amp;B820&amp;""", ""costo"":"&amp;C820&amp;", ""grupo"":"""&amp;A820&amp;""", ""lote"":"&amp;D820&amp;", ""tiempo"":"&amp;E820&amp;", "&amp;F820&amp;", ""vencimiento"":"&amp;G820&amp;IF(I820,", ""precio"":"&amp;I820,)&amp;", ""tipo"":"""&amp;H820&amp;"""},",)</f>
        <v>#VALUE!</v>
      </c>
    </row>
    <row r="821" customFormat="false" ht="13" hidden="false" customHeight="false" outlineLevel="0" collapsed="false">
      <c r="A821" s="17" t="n">
        <v>12</v>
      </c>
      <c r="B821" s="0" t="n">
        <f aca="false">IFERROR(__xludf.dummyfunction("""COMPUTED_VALUE"""),1115)</f>
        <v>1115</v>
      </c>
      <c r="C821" s="24" t="n">
        <f aca="false">IFERROR(__xludf.dummyfunction("""COMPUTED_VALUE"""),10)</f>
        <v>10</v>
      </c>
      <c r="D821" s="0" t="n">
        <f aca="false">IFERROR(__xludf.dummyfunction("""COMPUTED_VALUE"""),8)</f>
        <v>8</v>
      </c>
      <c r="E821" s="0" t="n">
        <f aca="false">IFERROR(__xludf.dummyfunction("""COMPUTED_VALUE"""),10)</f>
        <v>10</v>
      </c>
      <c r="F821" s="0" t="str">
        <f aca="false">IFERROR(__xludf.dummyfunction("filter(Formulas!$C:$C,Formulas!$A:$A=B821)"),"""formula"":[{""sku"":""1015"",""req"":2}]")</f>
        <v>"formula":[{"sku":"1015","req":2}]</v>
      </c>
      <c r="G821" s="0" t="n">
        <f aca="false">IFERROR(__xludf.dummyfunction("""COMPUTED_VALUE"""),3)</f>
        <v>3</v>
      </c>
      <c r="H821" s="21" t="str">
        <f aca="false">IFERROR(__xludf.dummyfunction("IF(D821,filter(Productos!AC:AC,Productos!A:A=B821),)"),"fabrica")</f>
        <v>fabrica</v>
      </c>
      <c r="I821" s="24" t="str">
        <f aca="false">IFERROR(__xludf.dummyfunction("""COMPUTED_VALUE"""),"")</f>
        <v/>
      </c>
      <c r="K821" s="0" t="e">
        <f aca="false">IF(D821,"{""sku"":"""&amp;B821&amp;""", ""costo"":"&amp;C821&amp;", ""grupo"":"""&amp;A821&amp;""", ""lote"":"&amp;D821&amp;", ""tiempo"":"&amp;E821&amp;", "&amp;F821&amp;", ""vencimiento"":"&amp;G821&amp;IF(I821,", ""precio"":"&amp;I821,)&amp;", ""tipo"":"""&amp;H821&amp;"""},",)</f>
        <v>#VALUE!</v>
      </c>
    </row>
    <row r="822" customFormat="false" ht="13" hidden="false" customHeight="false" outlineLevel="0" collapsed="false">
      <c r="A822" s="16" t="n">
        <v>12</v>
      </c>
      <c r="B822" s="0" t="n">
        <f aca="false">IFERROR(__xludf.dummyfunction("""COMPUTED_VALUE"""),1116)</f>
        <v>1116</v>
      </c>
      <c r="C822" s="24" t="n">
        <f aca="false">IFERROR(__xludf.dummyfunction("""COMPUTED_VALUE"""),10)</f>
        <v>10</v>
      </c>
      <c r="D822" s="0" t="n">
        <f aca="false">IFERROR(__xludf.dummyfunction("""COMPUTED_VALUE"""),10)</f>
        <v>10</v>
      </c>
      <c r="E822" s="0" t="n">
        <f aca="false">IFERROR(__xludf.dummyfunction("""COMPUTED_VALUE"""),40)</f>
        <v>40</v>
      </c>
      <c r="F822" s="0" t="str">
        <f aca="false">IFERROR(__xludf.dummyfunction("filter(Formulas!$C:$C,Formulas!$A:$A=B822)"),"""formula"":[{""sku"":""1016"",""req"":11}]")</f>
        <v>"formula":[{"sku":"1016","req":11}]</v>
      </c>
      <c r="G822" s="0" t="n">
        <f aca="false">IFERROR(__xludf.dummyfunction("""COMPUTED_VALUE"""),24)</f>
        <v>24</v>
      </c>
      <c r="H822" s="21" t="str">
        <f aca="false">IFERROR(__xludf.dummyfunction("IF(D822,filter(Productos!AC:AC,Productos!A:A=B822),)"),"fabrica")</f>
        <v>fabrica</v>
      </c>
      <c r="I822" s="0" t="str">
        <f aca="false">IFERROR(__xludf.dummyfunction("""COMPUTED_VALUE"""),"")</f>
        <v/>
      </c>
      <c r="K822" s="0" t="e">
        <f aca="false">IF(D822,"{""sku"":"""&amp;B822&amp;""", ""costo"":"&amp;C822&amp;", ""grupo"":"""&amp;A822&amp;""", ""lote"":"&amp;D822&amp;", ""tiempo"":"&amp;E822&amp;", "&amp;F822&amp;", ""vencimiento"":"&amp;G822&amp;IF(I822,", ""precio"":"&amp;I822,)&amp;", ""tipo"":"""&amp;H822&amp;"""},",)</f>
        <v>#VALUE!</v>
      </c>
    </row>
    <row r="823" customFormat="false" ht="13" hidden="false" customHeight="false" outlineLevel="0" collapsed="false">
      <c r="A823" s="17" t="n">
        <v>12</v>
      </c>
      <c r="B823" s="0" t="n">
        <f aca="false">IFERROR(__xludf.dummyfunction("""COMPUTED_VALUE"""),1201)</f>
        <v>1201</v>
      </c>
      <c r="C823" s="24" t="n">
        <f aca="false">IFERROR(__xludf.dummyfunction("""COMPUTED_VALUE"""),10)</f>
        <v>10</v>
      </c>
      <c r="D823" s="0" t="n">
        <f aca="false">IFERROR(__xludf.dummyfunction("""COMPUTED_VALUE"""),10)</f>
        <v>10</v>
      </c>
      <c r="E823" s="0" t="n">
        <f aca="false">IFERROR(__xludf.dummyfunction("""COMPUTED_VALUE"""),10)</f>
        <v>10</v>
      </c>
      <c r="F823" s="0" t="str">
        <f aca="false">IFERROR(__xludf.dummyfunction("filter(Formulas!$C:$C,Formulas!$A:$A=B823)"),"""formula"":[{""sku"":""1101"",""req"":1}]")</f>
        <v>"formula":[{"sku":"1101","req":1}]</v>
      </c>
      <c r="G823" s="0" t="n">
        <f aca="false">IFERROR(__xludf.dummyfunction("""COMPUTED_VALUE"""),2)</f>
        <v>2</v>
      </c>
      <c r="H823" s="21" t="str">
        <f aca="false">IFERROR(__xludf.dummyfunction("IF(D823,filter(Productos!AC:AC,Productos!A:A=B823),)"),"fabrica")</f>
        <v>fabrica</v>
      </c>
      <c r="I823" s="24" t="str">
        <f aca="false">IFERROR(__xludf.dummyfunction("""COMPUTED_VALUE"""),"")</f>
        <v/>
      </c>
      <c r="K823" s="0" t="e">
        <f aca="false">IF(D823,"{""sku"":"""&amp;B823&amp;""", ""costo"":"&amp;C823&amp;", ""grupo"":"""&amp;A823&amp;""", ""lote"":"&amp;D823&amp;", ""tiempo"":"&amp;E823&amp;", "&amp;F823&amp;", ""vencimiento"":"&amp;G823&amp;IF(I823,", ""precio"":"&amp;I823,)&amp;", ""tipo"":"""&amp;H823&amp;"""},",)</f>
        <v>#VALUE!</v>
      </c>
    </row>
    <row r="824" customFormat="false" ht="13" hidden="false" customHeight="false" outlineLevel="0" collapsed="false">
      <c r="A824" s="16" t="n">
        <v>12</v>
      </c>
      <c r="B824" s="0" t="n">
        <f aca="false">IFERROR(__xludf.dummyfunction("""COMPUTED_VALUE"""),1207)</f>
        <v>1207</v>
      </c>
      <c r="C824" s="24" t="n">
        <f aca="false">IFERROR(__xludf.dummyfunction("""COMPUTED_VALUE"""),30)</f>
        <v>30</v>
      </c>
      <c r="D824" s="0" t="n">
        <f aca="false">IFERROR(__xludf.dummyfunction("""COMPUTED_VALUE"""),12)</f>
        <v>12</v>
      </c>
      <c r="E824" s="0" t="n">
        <f aca="false">IFERROR(__xludf.dummyfunction("""COMPUTED_VALUE"""),20)</f>
        <v>20</v>
      </c>
      <c r="F824" s="0" t="str">
        <f aca="false">IFERROR(__xludf.dummyfunction("filter(Formulas!$C:$C,Formulas!$A:$A=B824)"),"""formula"":[{""sku"":""1007"",""req"":1}]")</f>
        <v>"formula":[{"sku":"1007","req":1}]</v>
      </c>
      <c r="G824" s="0" t="n">
        <f aca="false">IFERROR(__xludf.dummyfunction("""COMPUTED_VALUE"""),2)</f>
        <v>2</v>
      </c>
      <c r="H824" s="21" t="str">
        <f aca="false">IFERROR(__xludf.dummyfunction("IF(D824,filter(Productos!AC:AC,Productos!A:A=B824),)"),"fabrica")</f>
        <v>fabrica</v>
      </c>
      <c r="I824" s="24" t="str">
        <f aca="false">IFERROR(__xludf.dummyfunction("""COMPUTED_VALUE"""),"")</f>
        <v/>
      </c>
      <c r="K824" s="0" t="e">
        <f aca="false">IF(D824,"{""sku"":"""&amp;B824&amp;""", ""costo"":"&amp;C824&amp;", ""grupo"":"""&amp;A824&amp;""", ""lote"":"&amp;D824&amp;", ""tiempo"":"&amp;E824&amp;", "&amp;F824&amp;", ""vencimiento"":"&amp;G824&amp;IF(I824,", ""precio"":"&amp;I824,)&amp;", ""tipo"":"""&amp;H824&amp;"""},",)</f>
        <v>#VALUE!</v>
      </c>
    </row>
    <row r="825" customFormat="false" ht="13" hidden="false" customHeight="false" outlineLevel="0" collapsed="false">
      <c r="A825" s="17" t="n">
        <v>12</v>
      </c>
      <c r="B825" s="0" t="n">
        <f aca="false">IFERROR(__xludf.dummyfunction("""COMPUTED_VALUE"""),1209)</f>
        <v>1209</v>
      </c>
      <c r="C825" s="24" t="n">
        <f aca="false">IFERROR(__xludf.dummyfunction("""COMPUTED_VALUE"""),30)</f>
        <v>30</v>
      </c>
      <c r="D825" s="0" t="n">
        <f aca="false">IFERROR(__xludf.dummyfunction("""COMPUTED_VALUE"""),14)</f>
        <v>14</v>
      </c>
      <c r="E825" s="0" t="n">
        <f aca="false">IFERROR(__xludf.dummyfunction("""COMPUTED_VALUE"""),30)</f>
        <v>30</v>
      </c>
      <c r="F825" s="0" t="str">
        <f aca="false">IFERROR(__xludf.dummyfunction("filter(Formulas!$C:$C,Formulas!$A:$A=B825)"),"""formula"":[{""sku"":""1009"",""req"":1}]")</f>
        <v>"formula":[{"sku":"1009","req":1}]</v>
      </c>
      <c r="G825" s="0" t="n">
        <f aca="false">IFERROR(__xludf.dummyfunction("""COMPUTED_VALUE"""),1.5)</f>
        <v>1.5</v>
      </c>
      <c r="H825" s="21" t="str">
        <f aca="false">IFERROR(__xludf.dummyfunction("IF(D825,filter(Productos!AC:AC,Productos!A:A=B825),)"),"fabrica")</f>
        <v>fabrica</v>
      </c>
      <c r="I825" s="24" t="str">
        <f aca="false">IFERROR(__xludf.dummyfunction("""COMPUTED_VALUE"""),"")</f>
        <v/>
      </c>
      <c r="K825" s="0" t="e">
        <f aca="false">IF(D825,"{""sku"":"""&amp;B825&amp;""", ""costo"":"&amp;C825&amp;", ""grupo"":"""&amp;A825&amp;""", ""lote"":"&amp;D825&amp;", ""tiempo"":"&amp;E825&amp;", "&amp;F825&amp;", ""vencimiento"":"&amp;G825&amp;IF(I825,", ""precio"":"&amp;I825,)&amp;", ""tipo"":"""&amp;H825&amp;"""},",)</f>
        <v>#VALUE!</v>
      </c>
    </row>
    <row r="826" customFormat="false" ht="13" hidden="false" customHeight="false" outlineLevel="0" collapsed="false">
      <c r="A826" s="16" t="n">
        <v>12</v>
      </c>
      <c r="B826" s="0" t="n">
        <f aca="false">IFERROR(__xludf.dummyfunction("""COMPUTED_VALUE"""),1210)</f>
        <v>1210</v>
      </c>
      <c r="C826" s="24" t="n">
        <f aca="false">IFERROR(__xludf.dummyfunction("""COMPUTED_VALUE"""),10)</f>
        <v>10</v>
      </c>
      <c r="D826" s="0" t="n">
        <f aca="false">IFERROR(__xludf.dummyfunction("""COMPUTED_VALUE"""),9)</f>
        <v>9</v>
      </c>
      <c r="E826" s="0" t="n">
        <f aca="false">IFERROR(__xludf.dummyfunction("""COMPUTED_VALUE"""),10)</f>
        <v>10</v>
      </c>
      <c r="F826" s="0" t="str">
        <f aca="false">IFERROR(__xludf.dummyfunction("filter(Formulas!$C:$C,Formulas!$A:$A=B826)"),"""formula"":[{""sku"":""1010"",""req"":1}]")</f>
        <v>"formula":[{"sku":"1010","req":1}]</v>
      </c>
      <c r="G826" s="0" t="n">
        <f aca="false">IFERROR(__xludf.dummyfunction("""COMPUTED_VALUE"""),2.3)</f>
        <v>2.3</v>
      </c>
      <c r="H826" s="21" t="str">
        <f aca="false">IFERROR(__xludf.dummyfunction("IF(D826,filter(Productos!AC:AC,Productos!A:A=B826),)"),"fabrica")</f>
        <v>fabrica</v>
      </c>
      <c r="I826" s="24" t="str">
        <f aca="false">IFERROR(__xludf.dummyfunction("""COMPUTED_VALUE"""),"")</f>
        <v/>
      </c>
      <c r="K826" s="0" t="e">
        <f aca="false">IF(D826,"{""sku"":"""&amp;B826&amp;""", ""costo"":"&amp;C826&amp;", ""grupo"":"""&amp;A826&amp;""", ""lote"":"&amp;D826&amp;", ""tiempo"":"&amp;E826&amp;", "&amp;F826&amp;", ""vencimiento"":"&amp;G826&amp;IF(I826,", ""precio"":"&amp;I826,)&amp;", ""tipo"":"""&amp;H826&amp;"""},",)</f>
        <v>#VALUE!</v>
      </c>
    </row>
    <row r="827" customFormat="false" ht="13" hidden="false" customHeight="false" outlineLevel="0" collapsed="false">
      <c r="A827" s="17" t="n">
        <v>12</v>
      </c>
      <c r="B827" s="0" t="n">
        <f aca="false">IFERROR(__xludf.dummyfunction("""COMPUTED_VALUE"""),1211)</f>
        <v>1211</v>
      </c>
      <c r="C827" s="24" t="n">
        <f aca="false">IFERROR(__xludf.dummyfunction("""COMPUTED_VALUE"""),10)</f>
        <v>10</v>
      </c>
      <c r="D827" s="0" t="n">
        <f aca="false">IFERROR(__xludf.dummyfunction("""COMPUTED_VALUE"""),10)</f>
        <v>10</v>
      </c>
      <c r="E827" s="0" t="n">
        <f aca="false">IFERROR(__xludf.dummyfunction("""COMPUTED_VALUE"""),10)</f>
        <v>10</v>
      </c>
      <c r="F827" s="0" t="str">
        <f aca="false">IFERROR(__xludf.dummyfunction("filter(Formulas!$C:$C,Formulas!$A:$A=B827)"),"""formula"":[{""sku"":""1111"",""req"":1}]")</f>
        <v>"formula":[{"sku":"1111","req":1}]</v>
      </c>
      <c r="G827" s="0" t="n">
        <f aca="false">IFERROR(__xludf.dummyfunction("""COMPUTED_VALUE"""),12)</f>
        <v>12</v>
      </c>
      <c r="H827" s="21" t="str">
        <f aca="false">IFERROR(__xludf.dummyfunction("IF(D827,filter(Productos!AC:AC,Productos!A:A=B827),)"),"fabrica")</f>
        <v>fabrica</v>
      </c>
      <c r="I827" s="24" t="str">
        <f aca="false">IFERROR(__xludf.dummyfunction("""COMPUTED_VALUE"""),"")</f>
        <v/>
      </c>
      <c r="K827" s="0" t="e">
        <f aca="false">IF(D827,"{""sku"":"""&amp;B827&amp;""", ""costo"":"&amp;C827&amp;", ""grupo"":"""&amp;A827&amp;""", ""lote"":"&amp;D827&amp;", ""tiempo"":"&amp;E827&amp;", "&amp;F827&amp;", ""vencimiento"":"&amp;G827&amp;IF(I827,", ""precio"":"&amp;I827,)&amp;", ""tipo"":"""&amp;H827&amp;"""},",)</f>
        <v>#VALUE!</v>
      </c>
    </row>
    <row r="828" customFormat="false" ht="13" hidden="false" customHeight="false" outlineLevel="0" collapsed="false">
      <c r="A828" s="16" t="n">
        <v>12</v>
      </c>
      <c r="B828" s="0" t="n">
        <f aca="false">IFERROR(__xludf.dummyfunction("""COMPUTED_VALUE"""),1215)</f>
        <v>1215</v>
      </c>
      <c r="C828" s="24" t="n">
        <f aca="false">IFERROR(__xludf.dummyfunction("""COMPUTED_VALUE"""),0)</f>
        <v>0</v>
      </c>
      <c r="D828" s="0" t="n">
        <f aca="false">IFERROR(__xludf.dummyfunction("""COMPUTED_VALUE"""),8)</f>
        <v>8</v>
      </c>
      <c r="E828" s="0" t="n">
        <f aca="false">IFERROR(__xludf.dummyfunction("""COMPUTED_VALUE"""),10)</f>
        <v>10</v>
      </c>
      <c r="F828" s="0" t="str">
        <f aca="false">IFERROR(__xludf.dummyfunction("filter(Formulas!$C:$C,Formulas!$A:$A=B828)"),"""formula"":[{""sku"":""1015"",""req"":4}]")</f>
        <v>"formula":[{"sku":"1015","req":4}]</v>
      </c>
      <c r="G828" s="0" t="n">
        <f aca="false">IFERROR(__xludf.dummyfunction("""COMPUTED_VALUE"""),3)</f>
        <v>3</v>
      </c>
      <c r="H828" s="21" t="str">
        <f aca="false">IFERROR(__xludf.dummyfunction("IF(D828,filter(Productos!AC:AC,Productos!A:A=B828),)"),"fabrica")</f>
        <v>fabrica</v>
      </c>
      <c r="I828" s="24" t="str">
        <f aca="false">IFERROR(__xludf.dummyfunction("""COMPUTED_VALUE"""),"")</f>
        <v/>
      </c>
      <c r="K828" s="0" t="e">
        <f aca="false">IF(D828,"{""sku"":"""&amp;B828&amp;""", ""costo"":"&amp;C828&amp;", ""grupo"":"""&amp;A828&amp;""", ""lote"":"&amp;D828&amp;", ""tiempo"":"&amp;E828&amp;", "&amp;F828&amp;", ""vencimiento"":"&amp;G828&amp;IF(I828,", ""precio"":"&amp;I828,)&amp;", ""tipo"":"""&amp;H828&amp;"""},",)</f>
        <v>#VALUE!</v>
      </c>
    </row>
    <row r="829" customFormat="false" ht="13" hidden="false" customHeight="false" outlineLevel="0" collapsed="false">
      <c r="A829" s="17" t="n">
        <v>12</v>
      </c>
      <c r="B829" s="0" t="n">
        <f aca="false">IFERROR(__xludf.dummyfunction("""COMPUTED_VALUE"""),1216)</f>
        <v>1216</v>
      </c>
      <c r="C829" s="24" t="n">
        <f aca="false">IFERROR(__xludf.dummyfunction("""COMPUTED_VALUE"""),10)</f>
        <v>10</v>
      </c>
      <c r="D829" s="0" t="n">
        <f aca="false">IFERROR(__xludf.dummyfunction("""COMPUTED_VALUE"""),10)</f>
        <v>10</v>
      </c>
      <c r="E829" s="0" t="n">
        <f aca="false">IFERROR(__xludf.dummyfunction("""COMPUTED_VALUE"""),30)</f>
        <v>30</v>
      </c>
      <c r="F829" s="0" t="str">
        <f aca="false">IFERROR(__xludf.dummyfunction("filter(Formulas!$C:$C,Formulas!$A:$A=B829)"),"""formula"":[{""sku"":""1016"",""req"":2}]")</f>
        <v>"formula":[{"sku":"1016","req":2}]</v>
      </c>
      <c r="G829" s="0" t="n">
        <f aca="false">IFERROR(__xludf.dummyfunction("""COMPUTED_VALUE"""),24)</f>
        <v>24</v>
      </c>
      <c r="H829" s="21" t="str">
        <f aca="false">IFERROR(__xludf.dummyfunction("IF(D829,filter(Productos!AC:AC,Productos!A:A=B829),)"),"fabrica")</f>
        <v>fabrica</v>
      </c>
      <c r="I829" s="0" t="str">
        <f aca="false">IFERROR(__xludf.dummyfunction("""COMPUTED_VALUE"""),"")</f>
        <v/>
      </c>
      <c r="K829" s="0" t="e">
        <f aca="false">IF(D829,"{""sku"":"""&amp;B829&amp;""", ""costo"":"&amp;C829&amp;", ""grupo"":"""&amp;A829&amp;""", ""lote"":"&amp;D829&amp;", ""tiempo"":"&amp;E829&amp;", "&amp;F829&amp;", ""vencimiento"":"&amp;G829&amp;IF(I829,", ""precio"":"&amp;I829,)&amp;", ""tipo"":"""&amp;H829&amp;"""},",)</f>
        <v>#VALUE!</v>
      </c>
    </row>
    <row r="830" customFormat="false" ht="13" hidden="false" customHeight="false" outlineLevel="0" collapsed="false">
      <c r="A830" s="16" t="n">
        <v>12</v>
      </c>
      <c r="B830" s="0" t="n">
        <f aca="false">IFERROR(__xludf.dummyfunction("""COMPUTED_VALUE"""),1301)</f>
        <v>1301</v>
      </c>
      <c r="C830" s="24" t="n">
        <f aca="false">IFERROR(__xludf.dummyfunction("""COMPUTED_VALUE"""),10)</f>
        <v>10</v>
      </c>
      <c r="D830" s="0" t="n">
        <f aca="false">IFERROR(__xludf.dummyfunction("""COMPUTED_VALUE"""),5)</f>
        <v>5</v>
      </c>
      <c r="E830" s="0" t="n">
        <f aca="false">IFERROR(__xludf.dummyfunction("""COMPUTED_VALUE"""),10)</f>
        <v>10</v>
      </c>
      <c r="F830" s="0" t="str">
        <f aca="false">IFERROR(__xludf.dummyfunction("filter(Formulas!$C:$C,Formulas!$A:$A=B830)"),"""formula"":[{""sku"":""1101"",""req"":1}]")</f>
        <v>"formula":[{"sku":"1101","req":1}]</v>
      </c>
      <c r="G830" s="0" t="n">
        <f aca="false">IFERROR(__xludf.dummyfunction("""COMPUTED_VALUE"""),2)</f>
        <v>2</v>
      </c>
      <c r="H830" s="21" t="str">
        <f aca="false">IFERROR(__xludf.dummyfunction("IF(D830,filter(Productos!AC:AC,Productos!A:A=B830),)"),"fabrica")</f>
        <v>fabrica</v>
      </c>
      <c r="I830" s="24" t="str">
        <f aca="false">IFERROR(__xludf.dummyfunction("""COMPUTED_VALUE"""),"")</f>
        <v/>
      </c>
      <c r="K830" s="0" t="e">
        <f aca="false">IF(D830,"{""sku"":"""&amp;B830&amp;""", ""costo"":"&amp;C830&amp;", ""grupo"":"""&amp;A830&amp;""", ""lote"":"&amp;D830&amp;", ""tiempo"":"&amp;E830&amp;", "&amp;F830&amp;", ""vencimiento"":"&amp;G830&amp;IF(I830,", ""precio"":"&amp;I830,)&amp;", ""tipo"":"""&amp;H830&amp;"""},",)</f>
        <v>#VALUE!</v>
      </c>
    </row>
    <row r="831" customFormat="false" ht="13" hidden="false" customHeight="false" outlineLevel="0" collapsed="false">
      <c r="A831" s="17" t="n">
        <v>12</v>
      </c>
      <c r="B831" s="0" t="n">
        <f aca="false">IFERROR(__xludf.dummyfunction("""COMPUTED_VALUE"""),1307)</f>
        <v>1307</v>
      </c>
      <c r="C831" s="24" t="n">
        <f aca="false">IFERROR(__xludf.dummyfunction("""COMPUTED_VALUE"""),50)</f>
        <v>50</v>
      </c>
      <c r="D831" s="0" t="n">
        <f aca="false">IFERROR(__xludf.dummyfunction("""COMPUTED_VALUE"""),11)</f>
        <v>11</v>
      </c>
      <c r="E831" s="0" t="n">
        <f aca="false">IFERROR(__xludf.dummyfunction("""COMPUTED_VALUE"""),30)</f>
        <v>30</v>
      </c>
      <c r="F831" s="0" t="str">
        <f aca="false">IFERROR(__xludf.dummyfunction("filter(Formulas!$C:$C,Formulas!$A:$A=B831)"),"""formula"":[{""sku"":""1007"",""req"":1}]")</f>
        <v>"formula":[{"sku":"1007","req":1}]</v>
      </c>
      <c r="G831" s="0" t="n">
        <f aca="false">IFERROR(__xludf.dummyfunction("""COMPUTED_VALUE"""),1.2)</f>
        <v>1.2</v>
      </c>
      <c r="H831" s="21" t="str">
        <f aca="false">IFERROR(__xludf.dummyfunction("IF(D831,filter(Productos!AC:AC,Productos!A:A=B831),)"),"fabrica")</f>
        <v>fabrica</v>
      </c>
      <c r="I831" s="24" t="str">
        <f aca="false">IFERROR(__xludf.dummyfunction("""COMPUTED_VALUE"""),"")</f>
        <v/>
      </c>
      <c r="K831" s="0" t="e">
        <f aca="false">IF(D831,"{""sku"":"""&amp;B831&amp;""", ""costo"":"&amp;C831&amp;", ""grupo"":"""&amp;A831&amp;""", ""lote"":"&amp;D831&amp;", ""tiempo"":"&amp;E831&amp;", "&amp;F831&amp;", ""vencimiento"":"&amp;G831&amp;IF(I831,", ""precio"":"&amp;I831,)&amp;", ""tipo"":"""&amp;H831&amp;"""},",)</f>
        <v>#VALUE!</v>
      </c>
    </row>
    <row r="832" customFormat="false" ht="13" hidden="false" customHeight="false" outlineLevel="0" collapsed="false">
      <c r="A832" s="16" t="n">
        <v>12</v>
      </c>
      <c r="B832" s="0" t="n">
        <f aca="false">IFERROR(__xludf.dummyfunction("""COMPUTED_VALUE"""),1309)</f>
        <v>1309</v>
      </c>
      <c r="C832" s="24" t="n">
        <f aca="false">IFERROR(__xludf.dummyfunction("""COMPUTED_VALUE"""),50)</f>
        <v>50</v>
      </c>
      <c r="D832" s="0" t="n">
        <f aca="false">IFERROR(__xludf.dummyfunction("""COMPUTED_VALUE"""),11)</f>
        <v>11</v>
      </c>
      <c r="E832" s="0" t="n">
        <f aca="false">IFERROR(__xludf.dummyfunction("""COMPUTED_VALUE"""),50)</f>
        <v>50</v>
      </c>
      <c r="F832" s="0" t="str">
        <f aca="false">IFERROR(__xludf.dummyfunction("filter(Formulas!$C:$C,Formulas!$A:$A=B832)"),"""formula"":[{""sku"":""1009"",""req"":1}]")</f>
        <v>"formula":[{"sku":"1009","req":1}]</v>
      </c>
      <c r="G832" s="0" t="n">
        <f aca="false">IFERROR(__xludf.dummyfunction("""COMPUTED_VALUE"""),1.2)</f>
        <v>1.2</v>
      </c>
      <c r="H832" s="21" t="str">
        <f aca="false">IFERROR(__xludf.dummyfunction("IF(D832,filter(Productos!AC:AC,Productos!A:A=B832),)"),"fabrica")</f>
        <v>fabrica</v>
      </c>
      <c r="I832" s="24" t="str">
        <f aca="false">IFERROR(__xludf.dummyfunction("""COMPUTED_VALUE"""),"")</f>
        <v/>
      </c>
      <c r="K832" s="0" t="e">
        <f aca="false">IF(D832,"{""sku"":"""&amp;B832&amp;""", ""costo"":"&amp;C832&amp;", ""grupo"":"""&amp;A832&amp;""", ""lote"":"&amp;D832&amp;", ""tiempo"":"&amp;E832&amp;", "&amp;F832&amp;", ""vencimiento"":"&amp;G832&amp;IF(I832,", ""precio"":"&amp;I832,)&amp;", ""tipo"":"""&amp;H832&amp;"""},",)</f>
        <v>#VALUE!</v>
      </c>
    </row>
    <row r="833" customFormat="false" ht="13" hidden="false" customHeight="false" outlineLevel="0" collapsed="false">
      <c r="A833" s="17" t="n">
        <v>12</v>
      </c>
      <c r="B833" s="0" t="n">
        <f aca="false">IFERROR(__xludf.dummyfunction("""COMPUTED_VALUE"""),1310)</f>
        <v>1310</v>
      </c>
      <c r="C833" s="24" t="n">
        <f aca="false">IFERROR(__xludf.dummyfunction("""COMPUTED_VALUE"""),10)</f>
        <v>10</v>
      </c>
      <c r="D833" s="0" t="n">
        <f aca="false">IFERROR(__xludf.dummyfunction("""COMPUTED_VALUE"""),12)</f>
        <v>12</v>
      </c>
      <c r="E833" s="0" t="n">
        <f aca="false">IFERROR(__xludf.dummyfunction("""COMPUTED_VALUE"""),10)</f>
        <v>10</v>
      </c>
      <c r="F833" s="0" t="str">
        <f aca="false">IFERROR(__xludf.dummyfunction("filter(Formulas!$C:$C,Formulas!$A:$A=B833)"),"""formula"":[{""sku"":""1010"",""req"":1}]")</f>
        <v>"formula":[{"sku":"1010","req":1}]</v>
      </c>
      <c r="G833" s="0" t="n">
        <f aca="false">IFERROR(__xludf.dummyfunction("""COMPUTED_VALUE"""),2)</f>
        <v>2</v>
      </c>
      <c r="H833" s="21" t="str">
        <f aca="false">IFERROR(__xludf.dummyfunction("IF(D833,filter(Productos!AC:AC,Productos!A:A=B833),)"),"fabrica")</f>
        <v>fabrica</v>
      </c>
      <c r="I833" s="24" t="str">
        <f aca="false">IFERROR(__xludf.dummyfunction("""COMPUTED_VALUE"""),"")</f>
        <v/>
      </c>
      <c r="K833" s="0" t="e">
        <f aca="false">IF(D833,"{""sku"":"""&amp;B833&amp;""", ""costo"":"&amp;C833&amp;", ""grupo"":"""&amp;A833&amp;""", ""lote"":"&amp;D833&amp;", ""tiempo"":"&amp;E833&amp;", "&amp;F833&amp;", ""vencimiento"":"&amp;G833&amp;IF(I833,", ""precio"":"&amp;I833,)&amp;", ""tipo"":"""&amp;H833&amp;"""},",)</f>
        <v>#VALUE!</v>
      </c>
    </row>
    <row r="834" customFormat="false" ht="13" hidden="false" customHeight="false" outlineLevel="0" collapsed="false">
      <c r="A834" s="16" t="n">
        <v>12</v>
      </c>
      <c r="B834" s="0" t="n">
        <f aca="false">IFERROR(__xludf.dummyfunction("""COMPUTED_VALUE"""),1407)</f>
        <v>1407</v>
      </c>
      <c r="C834" s="24" t="n">
        <f aca="false">IFERROR(__xludf.dummyfunction("""COMPUTED_VALUE"""),10)</f>
        <v>10</v>
      </c>
      <c r="D834" s="0" t="n">
        <f aca="false">IFERROR(__xludf.dummyfunction("""COMPUTED_VALUE"""),14)</f>
        <v>14</v>
      </c>
      <c r="E834" s="0" t="n">
        <f aca="false">IFERROR(__xludf.dummyfunction("""COMPUTED_VALUE"""),30)</f>
        <v>30</v>
      </c>
      <c r="F834" s="0" t="str">
        <f aca="false">IFERROR(__xludf.dummyfunction("filter(Formulas!$C:$C,Formulas!$A:$A=B834)"),"""formula"":[{""sku"":""1007"",""req"":1}]")</f>
        <v>"formula":[{"sku":"1007","req":1}]</v>
      </c>
      <c r="G834" s="0" t="n">
        <f aca="false">IFERROR(__xludf.dummyfunction("""COMPUTED_VALUE"""),2)</f>
        <v>2</v>
      </c>
      <c r="H834" s="21" t="str">
        <f aca="false">IFERROR(__xludf.dummyfunction("IF(D834,filter(Productos!AC:AC,Productos!A:A=B834),)"),"fabrica")</f>
        <v>fabrica</v>
      </c>
      <c r="I834" s="24" t="str">
        <f aca="false">IFERROR(__xludf.dummyfunction("""COMPUTED_VALUE"""),"")</f>
        <v/>
      </c>
      <c r="K834" s="0" t="e">
        <f aca="false">IF(D834,"{""sku"":"""&amp;B834&amp;""", ""costo"":"&amp;C834&amp;", ""grupo"":"""&amp;A834&amp;""", ""lote"":"&amp;D834&amp;", ""tiempo"":"&amp;E834&amp;", "&amp;F834&amp;", ""vencimiento"":"&amp;G834&amp;IF(I834,", ""precio"":"&amp;I834,)&amp;", ""tipo"":"""&amp;H834&amp;"""},",)</f>
        <v>#VALUE!</v>
      </c>
    </row>
    <row r="835" customFormat="false" ht="13" hidden="false" customHeight="false" outlineLevel="0" collapsed="false">
      <c r="A835" s="17" t="n">
        <v>12</v>
      </c>
      <c r="B835" s="0" t="n">
        <f aca="false">IFERROR(__xludf.dummyfunction("""COMPUTED_VALUE"""),10001)</f>
        <v>10001</v>
      </c>
      <c r="C835" s="24" t="n">
        <f aca="false">IFERROR(__xludf.dummyfunction("""COMPUTED_VALUE"""),10)</f>
        <v>10</v>
      </c>
      <c r="D835" s="0" t="n">
        <f aca="false">IFERROR(__xludf.dummyfunction("""COMPUTED_VALUE"""),1)</f>
        <v>1</v>
      </c>
      <c r="E835" s="0" t="n">
        <f aca="false">IFERROR(__xludf.dummyfunction("""COMPUTED_VALUE"""),10)</f>
        <v>10</v>
      </c>
      <c r="F835" s="0" t="str">
        <f aca="false">IFERROR(__xludf.dummyfunction("filter(Formulas!$C:$C,Formulas!$A:$A=B835)"),"""formula"":[{""sku"":""1201"",""req"":1},{""sku"":""1105"",""req"":1},{""sku"":""1210"",""req"":1},{""sku"":""1211"",""req"":1},{""sku"":""1116"",""req"":1}]")</f>
        <v>"formula":[{"sku":"1201","req":1},{"sku":"1105","req":1},{"sku":"1210","req":1},{"sku":"1211","req":1},{"sku":"1116","req":1}]</v>
      </c>
      <c r="G835" s="0" t="n">
        <f aca="false">IFERROR(__xludf.dummyfunction("""COMPUTED_VALUE"""),1)</f>
        <v>1</v>
      </c>
      <c r="H835" s="21" t="str">
        <f aca="false">IFERROR(__xludf.dummyfunction("IF(D835,filter(Productos!AC:AC,Productos!A:A=B835),)"),"cocina")</f>
        <v>cocina</v>
      </c>
      <c r="I835" s="24" t="n">
        <f aca="false">IFERROR(__xludf.dummyfunction("""COMPUTED_VALUE"""),4500)</f>
        <v>4500</v>
      </c>
      <c r="K835" s="0" t="str">
        <f aca="false">IF(D835,"{""sku"":"""&amp;B835&amp;""", ""costo"":"&amp;C835&amp;", ""grupo"":"""&amp;A835&amp;""", ""lote"":"&amp;D835&amp;", ""tiempo"":"&amp;E835&amp;", "&amp;F835&amp;", ""vencimiento"":"&amp;G835&amp;IF(I835,", ""precio"":"&amp;I835,)&amp;", ""tipo"":"""&amp;H835&amp;"""},",)</f>
        <v>{"sku":"10001", "costo":10, "grupo":"12", "lote":1, "tiempo":10, "formula":[{"sku":"1201","req":1},{"sku":"1105","req":1},{"sku":"1210","req":1},{"sku":"1211","req":1},{"sku":"1116","req":1}], "vencimiento":1, "precio":4500, "tipo":"cocina"},</v>
      </c>
    </row>
    <row r="836" customFormat="false" ht="13" hidden="false" customHeight="false" outlineLevel="0" collapsed="false">
      <c r="A836" s="16" t="n">
        <v>12</v>
      </c>
      <c r="B836" s="0" t="n">
        <f aca="false">IFERROR(__xludf.dummyfunction("""COMPUTED_VALUE"""),10002)</f>
        <v>10002</v>
      </c>
      <c r="C836" s="24" t="n">
        <f aca="false">IFERROR(__xludf.dummyfunction("""COMPUTED_VALUE"""),10)</f>
        <v>10</v>
      </c>
      <c r="D836" s="0" t="n">
        <f aca="false">IFERROR(__xludf.dummyfunction("""COMPUTED_VALUE"""),1)</f>
        <v>1</v>
      </c>
      <c r="E836" s="0" t="n">
        <f aca="false">IFERROR(__xludf.dummyfunction("""COMPUTED_VALUE"""),20)</f>
        <v>20</v>
      </c>
      <c r="F836" s="0" t="str">
        <f aca="false">IFERROR(__xludf.dummyfunction("filter(Formulas!$C:$C,Formulas!$A:$A=B836)"),"""formula"":[{""sku"":""1201"",""req"":1},{""sku"":""1105"",""req"":1},{""sku"":""1013"",""req"":5},{""sku"":""1210"",""req"":1},{""sku"":""1116"",""req"":1}]")</f>
        <v>"formula":[{"sku":"1201","req":1},{"sku":"1105","req":1},{"sku":"1013","req":5},{"sku":"1210","req":1},{"sku":"1116","req":1}]</v>
      </c>
      <c r="G836" s="0" t="n">
        <f aca="false">IFERROR(__xludf.dummyfunction("""COMPUTED_VALUE"""),1)</f>
        <v>1</v>
      </c>
      <c r="H836" s="21" t="str">
        <f aca="false">IFERROR(__xludf.dummyfunction("IF(D836,filter(Productos!AC:AC,Productos!A:A=B836),)"),"cocina")</f>
        <v>cocina</v>
      </c>
      <c r="I836" s="24" t="n">
        <f aca="false">IFERROR(__xludf.dummyfunction("""COMPUTED_VALUE"""),4500)</f>
        <v>4500</v>
      </c>
      <c r="K836" s="0" t="str">
        <f aca="false">IF(D836,"{""sku"":"""&amp;B836&amp;""", ""costo"":"&amp;C836&amp;", ""grupo"":"""&amp;A836&amp;""", ""lote"":"&amp;D836&amp;", ""tiempo"":"&amp;E836&amp;", "&amp;F836&amp;", ""vencimiento"":"&amp;G836&amp;IF(I836,", ""precio"":"&amp;I836,)&amp;", ""tipo"":"""&amp;H836&amp;"""},",)</f>
        <v>{"sku":"10002", "costo":10, "grupo":"12", "lote":1, "tiempo":20, "formula":[{"sku":"1201","req":1},{"sku":"1105","req":1},{"sku":"1013","req":5},{"sku":"1210","req":1},{"sku":"1116","req":1}], "vencimiento":1, "precio":4500, "tipo":"cocina"},</v>
      </c>
    </row>
    <row r="837" customFormat="false" ht="13" hidden="false" customHeight="false" outlineLevel="0" collapsed="false">
      <c r="A837" s="17" t="n">
        <v>12</v>
      </c>
      <c r="B837" s="0" t="n">
        <f aca="false">IFERROR(__xludf.dummyfunction("""COMPUTED_VALUE"""),10003)</f>
        <v>10003</v>
      </c>
      <c r="C837" s="24" t="n">
        <f aca="false">IFERROR(__xludf.dummyfunction("""COMPUTED_VALUE"""),10)</f>
        <v>10</v>
      </c>
      <c r="D837" s="0" t="n">
        <f aca="false">IFERROR(__xludf.dummyfunction("""COMPUTED_VALUE"""),1)</f>
        <v>1</v>
      </c>
      <c r="E837" s="0" t="n">
        <f aca="false">IFERROR(__xludf.dummyfunction("""COMPUTED_VALUE"""),30)</f>
        <v>30</v>
      </c>
      <c r="F837" s="0" t="str">
        <f aca="false">IFERROR(__xludf.dummyfunction("filter(Formulas!$C:$C,Formulas!$A:$A=B837)"),"""formula"":[{""sku"":""1201"",""req"":1},{""sku"":""1105"",""req"":1},{""sku"":""1013"",""req"":5},{""sku"":""1210"",""req"":1},{""sku"":""1211"",""req"":1},{""sku"":""1116"",""req"":1}]")</f>
        <v>"formula":[{"sku":"1201","req":1},{"sku":"1105","req":1},{"sku":"1013","req":5},{"sku":"1210","req":1},{"sku":"1211","req":1},{"sku":"1116","req":1}]</v>
      </c>
      <c r="G837" s="0" t="n">
        <f aca="false">IFERROR(__xludf.dummyfunction("""COMPUTED_VALUE"""),1)</f>
        <v>1</v>
      </c>
      <c r="H837" s="21" t="str">
        <f aca="false">IFERROR(__xludf.dummyfunction("IF(D837,filter(Productos!AC:AC,Productos!A:A=B837),)"),"cocina")</f>
        <v>cocina</v>
      </c>
      <c r="I837" s="24" t="n">
        <f aca="false">IFERROR(__xludf.dummyfunction("""COMPUTED_VALUE"""),4700)</f>
        <v>4700</v>
      </c>
      <c r="K837" s="0" t="str">
        <f aca="false">IF(D837,"{""sku"":"""&amp;B837&amp;""", ""costo"":"&amp;C837&amp;", ""grupo"":"""&amp;A837&amp;""", ""lote"":"&amp;D837&amp;", ""tiempo"":"&amp;E837&amp;", "&amp;F837&amp;", ""vencimiento"":"&amp;G837&amp;IF(I837,", ""precio"":"&amp;I837,)&amp;", ""tipo"":"""&amp;H837&amp;"""},",)</f>
        <v>{"sku":"10003", "costo":10, "grupo":"12", "lote":1, "tiempo":30, "formula":[{"sku":"1201","req":1},{"sku":"1105","req":1},{"sku":"1013","req":5},{"sku":"1210","req":1},{"sku":"1211","req":1},{"sku":"1116","req":1}], "vencimiento":1, "precio":4700, "tipo":"cocina"},</v>
      </c>
    </row>
    <row r="838" customFormat="false" ht="13" hidden="false" customHeight="false" outlineLevel="0" collapsed="false">
      <c r="A838" s="16" t="n">
        <v>12</v>
      </c>
      <c r="B838" s="0" t="n">
        <f aca="false">IFERROR(__xludf.dummyfunction("""COMPUTED_VALUE"""),10004)</f>
        <v>10004</v>
      </c>
      <c r="C838" s="24" t="n">
        <f aca="false">IFERROR(__xludf.dummyfunction("""COMPUTED_VALUE"""),10)</f>
        <v>10</v>
      </c>
      <c r="D838" s="0" t="n">
        <f aca="false">IFERROR(__xludf.dummyfunction("""COMPUTED_VALUE"""),1)</f>
        <v>1</v>
      </c>
      <c r="E838" s="0" t="n">
        <f aca="false">IFERROR(__xludf.dummyfunction("""COMPUTED_VALUE"""),10)</f>
        <v>10</v>
      </c>
      <c r="F838" s="0" t="str">
        <f aca="false">IFERROR(__xludf.dummyfunction("filter(Formulas!$C:$C,Formulas!$A:$A=B838)"),"""formula"":[{""sku"":""1201"",""req"":1},{""sku"":""1106"",""req"":4},{""sku"":""1210"",""req"":1},{""sku"":""1211"",""req"":1},{""sku"":""1116"",""req"":1}]")</f>
        <v>"formula":[{"sku":"1201","req":1},{"sku":"1106","req":4},{"sku":"1210","req":1},{"sku":"1211","req":1},{"sku":"1116","req":1}]</v>
      </c>
      <c r="G838" s="0" t="n">
        <f aca="false">IFERROR(__xludf.dummyfunction("""COMPUTED_VALUE"""),1)</f>
        <v>1</v>
      </c>
      <c r="H838" s="21" t="str">
        <f aca="false">IFERROR(__xludf.dummyfunction("IF(D838,filter(Productos!AC:AC,Productos!A:A=B838),)"),"cocina")</f>
        <v>cocina</v>
      </c>
      <c r="I838" s="24" t="n">
        <f aca="false">IFERROR(__xludf.dummyfunction("""COMPUTED_VALUE"""),4700)</f>
        <v>4700</v>
      </c>
      <c r="K838" s="0" t="str">
        <f aca="false">IF(D838,"{""sku"":"""&amp;B838&amp;""", ""costo"":"&amp;C838&amp;", ""grupo"":"""&amp;A838&amp;""", ""lote"":"&amp;D838&amp;", ""tiempo"":"&amp;E838&amp;", "&amp;F838&amp;", ""vencimiento"":"&amp;G838&amp;IF(I838,", ""precio"":"&amp;I838,)&amp;", ""tipo"":"""&amp;H838&amp;"""},",)</f>
        <v>{"sku":"10004", "costo":10, "grupo":"12", "lote":1, "tiempo":10, "formula":[{"sku":"1201","req":1},{"sku":"1106","req":4},{"sku":"1210","req":1},{"sku":"1211","req":1},{"sku":"1116","req":1}], "vencimiento":1, "precio":4700, "tipo":"cocina"},</v>
      </c>
    </row>
    <row r="839" customFormat="false" ht="13" hidden="false" customHeight="false" outlineLevel="0" collapsed="false">
      <c r="A839" s="17" t="n">
        <v>12</v>
      </c>
      <c r="B839" s="0" t="n">
        <f aca="false">IFERROR(__xludf.dummyfunction("""COMPUTED_VALUE"""),10005)</f>
        <v>10005</v>
      </c>
      <c r="C839" s="24" t="n">
        <f aca="false">IFERROR(__xludf.dummyfunction("""COMPUTED_VALUE"""),10)</f>
        <v>10</v>
      </c>
      <c r="D839" s="0" t="n">
        <f aca="false">IFERROR(__xludf.dummyfunction("""COMPUTED_VALUE"""),1)</f>
        <v>1</v>
      </c>
      <c r="E839" s="0" t="n">
        <f aca="false">IFERROR(__xludf.dummyfunction("""COMPUTED_VALUE"""),20)</f>
        <v>20</v>
      </c>
      <c r="F839" s="0" t="str">
        <f aca="false">IFERROR(__xludf.dummyfunction("filter(Formulas!$C:$C,Formulas!$A:$A=B839)"),"""formula"":[{""sku"":""1201"",""req"":1},{""sku"":""1106"",""req"":4},{""sku"":""1013"",""req"":5},{""sku"":""1210"",""req"":1},{""sku"":""1116"",""req"":1}]")</f>
        <v>"formula":[{"sku":"1201","req":1},{"sku":"1106","req":4},{"sku":"1013","req":5},{"sku":"1210","req":1},{"sku":"1116","req":1}]</v>
      </c>
      <c r="G839" s="0" t="n">
        <f aca="false">IFERROR(__xludf.dummyfunction("""COMPUTED_VALUE"""),1)</f>
        <v>1</v>
      </c>
      <c r="H839" s="21" t="str">
        <f aca="false">IFERROR(__xludf.dummyfunction("IF(D839,filter(Productos!AC:AC,Productos!A:A=B839),)"),"cocina")</f>
        <v>cocina</v>
      </c>
      <c r="I839" s="24" t="n">
        <f aca="false">IFERROR(__xludf.dummyfunction("""COMPUTED_VALUE"""),4700)</f>
        <v>4700</v>
      </c>
      <c r="K839" s="0" t="str">
        <f aca="false">IF(D839,"{""sku"":"""&amp;B839&amp;""", ""costo"":"&amp;C839&amp;", ""grupo"":"""&amp;A839&amp;""", ""lote"":"&amp;D839&amp;", ""tiempo"":"&amp;E839&amp;", "&amp;F839&amp;", ""vencimiento"":"&amp;G839&amp;IF(I839,", ""precio"":"&amp;I839,)&amp;", ""tipo"":"""&amp;H839&amp;"""},",)</f>
        <v>{"sku":"10005", "costo":10, "grupo":"12", "lote":1, "tiempo":20, "formula":[{"sku":"1201","req":1},{"sku":"1106","req":4},{"sku":"1013","req":5},{"sku":"1210","req":1},{"sku":"1116","req":1}], "vencimiento":1, "precio":4700, "tipo":"cocina"},</v>
      </c>
    </row>
    <row r="840" customFormat="false" ht="13" hidden="false" customHeight="false" outlineLevel="0" collapsed="false">
      <c r="A840" s="16" t="n">
        <v>12</v>
      </c>
      <c r="B840" s="0" t="n">
        <f aca="false">IFERROR(__xludf.dummyfunction("""COMPUTED_VALUE"""),10006)</f>
        <v>10006</v>
      </c>
      <c r="C840" s="24" t="n">
        <f aca="false">IFERROR(__xludf.dummyfunction("""COMPUTED_VALUE"""),10)</f>
        <v>10</v>
      </c>
      <c r="D840" s="0" t="n">
        <f aca="false">IFERROR(__xludf.dummyfunction("""COMPUTED_VALUE"""),1)</f>
        <v>1</v>
      </c>
      <c r="E840" s="0" t="n">
        <f aca="false">IFERROR(__xludf.dummyfunction("""COMPUTED_VALUE"""),10)</f>
        <v>10</v>
      </c>
      <c r="F840" s="0" t="str">
        <f aca="false">IFERROR(__xludf.dummyfunction("filter(Formulas!$C:$C,Formulas!$A:$A=B840)"),"""formula"":[{""sku"":""1201"",""req"":1},{""sku"":""1210"",""req"":1},{""sku"":""1107"",""req"":1},{""sku"":""1211"",""req"":1},{""sku"":""1116"",""req"":1}]")</f>
        <v>"formula":[{"sku":"1201","req":1},{"sku":"1210","req":1},{"sku":"1107","req":1},{"sku":"1211","req":1},{"sku":"1116","req":1}]</v>
      </c>
      <c r="G840" s="0" t="n">
        <f aca="false">IFERROR(__xludf.dummyfunction("""COMPUTED_VALUE"""),1)</f>
        <v>1</v>
      </c>
      <c r="H840" s="21" t="str">
        <f aca="false">IFERROR(__xludf.dummyfunction("IF(D840,filter(Productos!AC:AC,Productos!A:A=B840),)"),"cocina")</f>
        <v>cocina</v>
      </c>
      <c r="I840" s="24" t="n">
        <f aca="false">IFERROR(__xludf.dummyfunction("""COMPUTED_VALUE"""),4900)</f>
        <v>4900</v>
      </c>
      <c r="K840" s="0" t="str">
        <f aca="false">IF(D840,"{""sku"":"""&amp;B840&amp;""", ""costo"":"&amp;C840&amp;", ""grupo"":"""&amp;A840&amp;""", ""lote"":"&amp;D840&amp;", ""tiempo"":"&amp;E840&amp;", "&amp;F840&amp;", ""vencimiento"":"&amp;G840&amp;IF(I840,", ""precio"":"&amp;I840,)&amp;", ""tipo"":"""&amp;H840&amp;"""},",)</f>
        <v>{"sku":"10006", "costo":10, "grupo":"12", "lote":1, "tiempo":10, "formula":[{"sku":"1201","req":1},{"sku":"1210","req":1},{"sku":"1107","req":1},{"sku":"1211","req":1},{"sku":"1116","req":1}], "vencimiento":1, "precio":4900, "tipo":"cocina"},</v>
      </c>
    </row>
    <row r="841" customFormat="false" ht="13" hidden="false" customHeight="false" outlineLevel="0" collapsed="false">
      <c r="A841" s="17" t="n">
        <v>12</v>
      </c>
      <c r="B841" s="0" t="n">
        <f aca="false">IFERROR(__xludf.dummyfunction("""COMPUTED_VALUE"""),10007)</f>
        <v>10007</v>
      </c>
      <c r="C841" s="24" t="n">
        <f aca="false">IFERROR(__xludf.dummyfunction("""COMPUTED_VALUE"""),10)</f>
        <v>10</v>
      </c>
      <c r="D841" s="0" t="n">
        <f aca="false">IFERROR(__xludf.dummyfunction("""COMPUTED_VALUE"""),1)</f>
        <v>1</v>
      </c>
      <c r="E841" s="0" t="n">
        <f aca="false">IFERROR(__xludf.dummyfunction("""COMPUTED_VALUE"""),20)</f>
        <v>20</v>
      </c>
      <c r="F841" s="0" t="str">
        <f aca="false">IFERROR(__xludf.dummyfunction("filter(Formulas!$C:$C,Formulas!$A:$A=B841)"),"""formula"":[{""sku"":""1201"",""req"":1},{""sku"":""1013"",""req"":5},{""sku"":""1210"",""req"":1},{""sku"":""1107"",""req"":1},{""sku"":""1116"",""req"":1}]")</f>
        <v>"formula":[{"sku":"1201","req":1},{"sku":"1013","req":5},{"sku":"1210","req":1},{"sku":"1107","req":1},{"sku":"1116","req":1}]</v>
      </c>
      <c r="G841" s="0" t="n">
        <f aca="false">IFERROR(__xludf.dummyfunction("""COMPUTED_VALUE"""),1)</f>
        <v>1</v>
      </c>
      <c r="H841" s="21" t="str">
        <f aca="false">IFERROR(__xludf.dummyfunction("IF(D841,filter(Productos!AC:AC,Productos!A:A=B841),)"),"cocina")</f>
        <v>cocina</v>
      </c>
      <c r="I841" s="24" t="n">
        <f aca="false">IFERROR(__xludf.dummyfunction("""COMPUTED_VALUE"""),4900)</f>
        <v>4900</v>
      </c>
      <c r="K841" s="0" t="str">
        <f aca="false">IF(D841,"{""sku"":"""&amp;B841&amp;""", ""costo"":"&amp;C841&amp;", ""grupo"":"""&amp;A841&amp;""", ""lote"":"&amp;D841&amp;", ""tiempo"":"&amp;E841&amp;", "&amp;F841&amp;", ""vencimiento"":"&amp;G841&amp;IF(I841,", ""precio"":"&amp;I841,)&amp;", ""tipo"":"""&amp;H841&amp;"""},",)</f>
        <v>{"sku":"10007", "costo":10, "grupo":"12", "lote":1, "tiempo":20, "formula":[{"sku":"1201","req":1},{"sku":"1013","req":5},{"sku":"1210","req":1},{"sku":"1107","req":1},{"sku":"1116","req":1}], "vencimiento":1, "precio":4900, "tipo":"cocina"},</v>
      </c>
    </row>
    <row r="842" customFormat="false" ht="13" hidden="false" customHeight="false" outlineLevel="0" collapsed="false">
      <c r="A842" s="16" t="n">
        <v>12</v>
      </c>
      <c r="B842" s="0" t="n">
        <f aca="false">IFERROR(__xludf.dummyfunction("""COMPUTED_VALUE"""),10008)</f>
        <v>10008</v>
      </c>
      <c r="C842" s="24" t="n">
        <f aca="false">IFERROR(__xludf.dummyfunction("""COMPUTED_VALUE"""),10)</f>
        <v>10</v>
      </c>
      <c r="D842" s="0" t="n">
        <f aca="false">IFERROR(__xludf.dummyfunction("""COMPUTED_VALUE"""),1)</f>
        <v>1</v>
      </c>
      <c r="E842" s="0" t="n">
        <f aca="false">IFERROR(__xludf.dummyfunction("""COMPUTED_VALUE"""),20)</f>
        <v>20</v>
      </c>
      <c r="F842" s="0" t="str">
        <f aca="false">IFERROR(__xludf.dummyfunction("filter(Formulas!$C:$C,Formulas!$A:$A=B842)"),"""formula"":[{""sku"":""1201"",""req"":1},{""sku"":""1109"",""req"":1},{""sku"":""1210"",""req"":1},{""sku"":""1211"",""req"":1},{""sku"":""1116"",""req"":1}]")</f>
        <v>"formula":[{"sku":"1201","req":1},{"sku":"1109","req":1},{"sku":"1210","req":1},{"sku":"1211","req":1},{"sku":"1116","req":1}]</v>
      </c>
      <c r="G842" s="0" t="n">
        <f aca="false">IFERROR(__xludf.dummyfunction("""COMPUTED_VALUE"""),1)</f>
        <v>1</v>
      </c>
      <c r="H842" s="21" t="str">
        <f aca="false">IFERROR(__xludf.dummyfunction("IF(D842,filter(Productos!AC:AC,Productos!A:A=B842),)"),"cocina")</f>
        <v>cocina</v>
      </c>
      <c r="I842" s="24" t="n">
        <f aca="false">IFERROR(__xludf.dummyfunction("""COMPUTED_VALUE"""),4900)</f>
        <v>4900</v>
      </c>
      <c r="K842" s="0" t="str">
        <f aca="false">IF(D842,"{""sku"":"""&amp;B842&amp;""", ""costo"":"&amp;C842&amp;", ""grupo"":"""&amp;A842&amp;""", ""lote"":"&amp;D842&amp;", ""tiempo"":"&amp;E842&amp;", "&amp;F842&amp;", ""vencimiento"":"&amp;G842&amp;IF(I842,", ""precio"":"&amp;I842,)&amp;", ""tipo"":"""&amp;H842&amp;"""},",)</f>
        <v>{"sku":"10008", "costo":10, "grupo":"12", "lote":1, "tiempo":20, "formula":[{"sku":"1201","req":1},{"sku":"1109","req":1},{"sku":"1210","req":1},{"sku":"1211","req":1},{"sku":"1116","req":1}], "vencimiento":1, "precio":4900, "tipo":"cocina"},</v>
      </c>
    </row>
    <row r="843" customFormat="false" ht="13" hidden="false" customHeight="false" outlineLevel="0" collapsed="false">
      <c r="A843" s="17" t="n">
        <v>12</v>
      </c>
      <c r="B843" s="0" t="n">
        <f aca="false">IFERROR(__xludf.dummyfunction("""COMPUTED_VALUE"""),10009)</f>
        <v>10009</v>
      </c>
      <c r="C843" s="24" t="n">
        <f aca="false">IFERROR(__xludf.dummyfunction("""COMPUTED_VALUE"""),10)</f>
        <v>10</v>
      </c>
      <c r="D843" s="0" t="n">
        <f aca="false">IFERROR(__xludf.dummyfunction("""COMPUTED_VALUE"""),1)</f>
        <v>1</v>
      </c>
      <c r="E843" s="0" t="n">
        <f aca="false">IFERROR(__xludf.dummyfunction("""COMPUTED_VALUE"""),30)</f>
        <v>30</v>
      </c>
      <c r="F843" s="0" t="str">
        <f aca="false">IFERROR(__xludf.dummyfunction("filter(Formulas!$C:$C,Formulas!$A:$A=B843)"),"""formula"":[{""sku"":""1201"",""req"":1},{""sku"":""1109"",""req"":1},{""sku"":""1013"",""req"":5},{""sku"":""1210"",""req"":1},{""sku"":""1116"",""req"":1}]")</f>
        <v>"formula":[{"sku":"1201","req":1},{"sku":"1109","req":1},{"sku":"1013","req":5},{"sku":"1210","req":1},{"sku":"1116","req":1}]</v>
      </c>
      <c r="G843" s="0" t="n">
        <f aca="false">IFERROR(__xludf.dummyfunction("""COMPUTED_VALUE"""),1)</f>
        <v>1</v>
      </c>
      <c r="H843" s="21" t="str">
        <f aca="false">IFERROR(__xludf.dummyfunction("IF(D843,filter(Productos!AC:AC,Productos!A:A=B843),)"),"cocina")</f>
        <v>cocina</v>
      </c>
      <c r="I843" s="24" t="n">
        <f aca="false">IFERROR(__xludf.dummyfunction("""COMPUTED_VALUE"""),4900)</f>
        <v>4900</v>
      </c>
      <c r="K843" s="0" t="str">
        <f aca="false">IF(D843,"{""sku"":"""&amp;B843&amp;""", ""costo"":"&amp;C843&amp;", ""grupo"":"""&amp;A843&amp;""", ""lote"":"&amp;D843&amp;", ""tiempo"":"&amp;E843&amp;", "&amp;F843&amp;", ""vencimiento"":"&amp;G843&amp;IF(I843,", ""precio"":"&amp;I843,)&amp;", ""tipo"":"""&amp;H843&amp;"""},",)</f>
        <v>{"sku":"10009", "costo":10, "grupo":"12", "lote":1, "tiempo":30, "formula":[{"sku":"1201","req":1},{"sku":"1109","req":1},{"sku":"1013","req":5},{"sku":"1210","req":1},{"sku":"1116","req":1}], "vencimiento":1, "precio":4900, "tipo":"cocina"},</v>
      </c>
    </row>
    <row r="844" customFormat="false" ht="13" hidden="false" customHeight="false" outlineLevel="0" collapsed="false">
      <c r="A844" s="16" t="n">
        <v>12</v>
      </c>
      <c r="B844" s="0" t="n">
        <f aca="false">IFERROR(__xludf.dummyfunction("""COMPUTED_VALUE"""),10010)</f>
        <v>10010</v>
      </c>
      <c r="C844" s="24" t="n">
        <f aca="false">IFERROR(__xludf.dummyfunction("""COMPUTED_VALUE"""),10)</f>
        <v>10</v>
      </c>
      <c r="D844" s="0" t="n">
        <f aca="false">IFERROR(__xludf.dummyfunction("""COMPUTED_VALUE"""),1)</f>
        <v>1</v>
      </c>
      <c r="E844" s="0" t="n">
        <f aca="false">IFERROR(__xludf.dummyfunction("""COMPUTED_VALUE"""),10)</f>
        <v>10</v>
      </c>
      <c r="F844" s="0" t="str">
        <f aca="false">IFERROR(__xludf.dummyfunction("filter(Formulas!$C:$C,Formulas!$A:$A=B844)"),"""formula"":[{""sku"":""1201"",""req"":1},{""sku"":""1106"",""req"":4},{""sku"":""1210"",""req"":1},{""sku"":""1110"",""req"":1},{""sku"":""1116"",""req"":1}]")</f>
        <v>"formula":[{"sku":"1201","req":1},{"sku":"1106","req":4},{"sku":"1210","req":1},{"sku":"1110","req":1},{"sku":"1116","req":1}]</v>
      </c>
      <c r="G844" s="0" t="n">
        <f aca="false">IFERROR(__xludf.dummyfunction("""COMPUTED_VALUE"""),1)</f>
        <v>1</v>
      </c>
      <c r="H844" s="21" t="str">
        <f aca="false">IFERROR(__xludf.dummyfunction("IF(D844,filter(Productos!AC:AC,Productos!A:A=B844),)"),"cocina")</f>
        <v>cocina</v>
      </c>
      <c r="I844" s="24" t="n">
        <f aca="false">IFERROR(__xludf.dummyfunction("""COMPUTED_VALUE"""),4900)</f>
        <v>4900</v>
      </c>
      <c r="K844" s="0" t="str">
        <f aca="false">IF(D844,"{""sku"":"""&amp;B844&amp;""", ""costo"":"&amp;C844&amp;", ""grupo"":"""&amp;A844&amp;""", ""lote"":"&amp;D844&amp;", ""tiempo"":"&amp;E844&amp;", "&amp;F844&amp;", ""vencimiento"":"&amp;G844&amp;IF(I844,", ""precio"":"&amp;I844,)&amp;", ""tipo"":"""&amp;H844&amp;"""},",)</f>
        <v>{"sku":"10010", "costo":10, "grupo":"12", "lote":1, "tiempo":10, "formula":[{"sku":"1201","req":1},{"sku":"1106","req":4},{"sku":"1210","req":1},{"sku":"1110","req":1},{"sku":"1116","req":1}], "vencimiento":1, "precio":4900, "tipo":"cocina"},</v>
      </c>
    </row>
    <row r="845" customFormat="false" ht="13" hidden="false" customHeight="false" outlineLevel="0" collapsed="false">
      <c r="A845" s="17" t="n">
        <v>12</v>
      </c>
      <c r="B845" s="0" t="n">
        <f aca="false">IFERROR(__xludf.dummyfunction("""COMPUTED_VALUE"""),10011)</f>
        <v>10011</v>
      </c>
      <c r="C845" s="24" t="n">
        <f aca="false">IFERROR(__xludf.dummyfunction("""COMPUTED_VALUE"""),10)</f>
        <v>10</v>
      </c>
      <c r="D845" s="0" t="n">
        <f aca="false">IFERROR(__xludf.dummyfunction("""COMPUTED_VALUE"""),1)</f>
        <v>1</v>
      </c>
      <c r="E845" s="0" t="n">
        <f aca="false">IFERROR(__xludf.dummyfunction("""COMPUTED_VALUE"""),20)</f>
        <v>20</v>
      </c>
      <c r="F845" s="0" t="str">
        <f aca="false">IFERROR(__xludf.dummyfunction("filter(Formulas!$C:$C,Formulas!$A:$A=B845)"),"""formula"":[{""sku"":""1201"",""req"":1},{""sku"":""1106"",""req"":4},{""sku"":""1114"",""req"":1},{""sku"":""1110"",""req"":1},{""sku"":""1112"",""req"":1},{""sku"":""1116"",""req"":1}]")</f>
        <v>"formula":[{"sku":"1201","req":1},{"sku":"1106","req":4},{"sku":"1114","req":1},{"sku":"1110","req":1},{"sku":"1112","req":1},{"sku":"1116","req":1}]</v>
      </c>
      <c r="G845" s="0" t="n">
        <f aca="false">IFERROR(__xludf.dummyfunction("""COMPUTED_VALUE"""),1)</f>
        <v>1</v>
      </c>
      <c r="H845" s="21" t="str">
        <f aca="false">IFERROR(__xludf.dummyfunction("IF(D845,filter(Productos!AC:AC,Productos!A:A=B845),)"),"cocina")</f>
        <v>cocina</v>
      </c>
      <c r="I845" s="24" t="n">
        <f aca="false">IFERROR(__xludf.dummyfunction("""COMPUTED_VALUE"""),5700)</f>
        <v>5700</v>
      </c>
      <c r="K845" s="0" t="str">
        <f aca="false">IF(D845,"{""sku"":"""&amp;B845&amp;""", ""costo"":"&amp;C845&amp;", ""grupo"":"""&amp;A845&amp;""", ""lote"":"&amp;D845&amp;", ""tiempo"":"&amp;E845&amp;", "&amp;F845&amp;", ""vencimiento"":"&amp;G845&amp;IF(I845,", ""precio"":"&amp;I845,)&amp;", ""tipo"":"""&amp;H845&amp;"""},",)</f>
        <v>{"sku":"10011", "costo":10, "grupo":"12", "lote":1, "tiempo":20, "formula":[{"sku":"1201","req":1},{"sku":"1106","req":4},{"sku":"1114","req":1},{"sku":"1110","req":1},{"sku":"1112","req":1},{"sku":"1116","req":1}], "vencimiento":1, "precio":5700, "tipo":"cocina"},</v>
      </c>
    </row>
    <row r="846" customFormat="false" ht="13" hidden="false" customHeight="false" outlineLevel="0" collapsed="false">
      <c r="A846" s="16" t="n">
        <v>12</v>
      </c>
      <c r="B846" s="0" t="n">
        <f aca="false">IFERROR(__xludf.dummyfunction("""COMPUTED_VALUE"""),10012)</f>
        <v>10012</v>
      </c>
      <c r="C846" s="24" t="n">
        <f aca="false">IFERROR(__xludf.dummyfunction("""COMPUTED_VALUE"""),10)</f>
        <v>10</v>
      </c>
      <c r="D846" s="0" t="n">
        <f aca="false">IFERROR(__xludf.dummyfunction("""COMPUTED_VALUE"""),1)</f>
        <v>1</v>
      </c>
      <c r="E846" s="0" t="n">
        <f aca="false">IFERROR(__xludf.dummyfunction("""COMPUTED_VALUE"""),20)</f>
        <v>20</v>
      </c>
      <c r="F846" s="0" t="str">
        <f aca="false">IFERROR(__xludf.dummyfunction("filter(Formulas!$C:$C,Formulas!$A:$A=B846)"),"""formula"":[{""sku"":""1201"",""req"":1},{""sku"":""1106"",""req"":4},{""sku"":""1110"",""req"":1},{""sku"":""1112"",""req"":1},{""sku"":""1108"",""req"":1},{""sku"":""1116"",""req"":1}]")</f>
        <v>"formula":[{"sku":"1201","req":1},{"sku":"1106","req":4},{"sku":"1110","req":1},{"sku":"1112","req":1},{"sku":"1108","req":1},{"sku":"1116","req":1}]</v>
      </c>
      <c r="G846" s="0" t="n">
        <f aca="false">IFERROR(__xludf.dummyfunction("""COMPUTED_VALUE"""),1)</f>
        <v>1</v>
      </c>
      <c r="H846" s="21" t="str">
        <f aca="false">IFERROR(__xludf.dummyfunction("IF(D846,filter(Productos!AC:AC,Productos!A:A=B846),)"),"cocina")</f>
        <v>cocina</v>
      </c>
      <c r="I846" s="24" t="n">
        <f aca="false">IFERROR(__xludf.dummyfunction("""COMPUTED_VALUE"""),5700)</f>
        <v>5700</v>
      </c>
      <c r="K846" s="0" t="str">
        <f aca="false">IF(D846,"{""sku"":"""&amp;B846&amp;""", ""costo"":"&amp;C846&amp;", ""grupo"":"""&amp;A846&amp;""", ""lote"":"&amp;D846&amp;", ""tiempo"":"&amp;E846&amp;", "&amp;F846&amp;", ""vencimiento"":"&amp;G846&amp;IF(I846,", ""precio"":"&amp;I846,)&amp;", ""tipo"":"""&amp;H846&amp;"""},",)</f>
        <v>{"sku":"10012", "costo":10, "grupo":"12", "lote":1, "tiempo":20, "formula":[{"sku":"1201","req":1},{"sku":"1106","req":4},{"sku":"1110","req":1},{"sku":"1112","req":1},{"sku":"1108","req":1},{"sku":"1116","req":1}], "vencimiento":1, "precio":5700, "tipo":"cocina"},</v>
      </c>
    </row>
    <row r="847" customFormat="false" ht="13" hidden="false" customHeight="false" outlineLevel="0" collapsed="false">
      <c r="A847" s="17" t="n">
        <v>12</v>
      </c>
      <c r="B847" s="0" t="n">
        <f aca="false">IFERROR(__xludf.dummyfunction("""COMPUTED_VALUE"""),10013)</f>
        <v>10013</v>
      </c>
      <c r="C847" s="24" t="n">
        <f aca="false">IFERROR(__xludf.dummyfunction("""COMPUTED_VALUE"""),10)</f>
        <v>10</v>
      </c>
      <c r="D847" s="0" t="n">
        <f aca="false">IFERROR(__xludf.dummyfunction("""COMPUTED_VALUE"""),1)</f>
        <v>1</v>
      </c>
      <c r="E847" s="0" t="n">
        <f aca="false">IFERROR(__xludf.dummyfunction("""COMPUTED_VALUE"""),10)</f>
        <v>10</v>
      </c>
      <c r="F847" s="0" t="str">
        <f aca="false">IFERROR(__xludf.dummyfunction("filter(Formulas!$C:$C,Formulas!$A:$A=B847)"),"""formula"":[{""sku"":""1201"",""req"":1},{""sku"":""1106"",""req"":4},{""sku"":""1110"",""req"":1},{""sku"":""1112"",""req"":1},{""sku"":""1116"",""req"":1}]")</f>
        <v>"formula":[{"sku":"1201","req":1},{"sku":"1106","req":4},{"sku":"1110","req":1},{"sku":"1112","req":1},{"sku":"1116","req":1}]</v>
      </c>
      <c r="G847" s="0" t="n">
        <f aca="false">IFERROR(__xludf.dummyfunction("""COMPUTED_VALUE"""),1)</f>
        <v>1</v>
      </c>
      <c r="H847" s="21" t="str">
        <f aca="false">IFERROR(__xludf.dummyfunction("IF(D847,filter(Productos!AC:AC,Productos!A:A=B847),)"),"cocina")</f>
        <v>cocina</v>
      </c>
      <c r="I847" s="24" t="n">
        <f aca="false">IFERROR(__xludf.dummyfunction("""COMPUTED_VALUE"""),5700)</f>
        <v>5700</v>
      </c>
      <c r="K847" s="0" t="str">
        <f aca="false">IF(D847,"{""sku"":"""&amp;B847&amp;""", ""costo"":"&amp;C847&amp;", ""grupo"":"""&amp;A847&amp;""", ""lote"":"&amp;D847&amp;", ""tiempo"":"&amp;E847&amp;", "&amp;F847&amp;", ""vencimiento"":"&amp;G847&amp;IF(I847,", ""precio"":"&amp;I847,)&amp;", ""tipo"":"""&amp;H847&amp;"""},",)</f>
        <v>{"sku":"10013", "costo":10, "grupo":"12", "lote":1, "tiempo":10, "formula":[{"sku":"1201","req":1},{"sku":"1106","req":4},{"sku":"1110","req":1},{"sku":"1112","req":1},{"sku":"1116","req":1}], "vencimiento":1, "precio":5700, "tipo":"cocina"},</v>
      </c>
    </row>
    <row r="848" customFormat="false" ht="13" hidden="false" customHeight="false" outlineLevel="0" collapsed="false">
      <c r="A848" s="16" t="n">
        <v>12</v>
      </c>
      <c r="B848" s="0" t="n">
        <f aca="false">IFERROR(__xludf.dummyfunction("""COMPUTED_VALUE"""),10014)</f>
        <v>10014</v>
      </c>
      <c r="C848" s="24" t="n">
        <f aca="false">IFERROR(__xludf.dummyfunction("""COMPUTED_VALUE"""),10)</f>
        <v>10</v>
      </c>
      <c r="D848" s="0" t="n">
        <f aca="false">IFERROR(__xludf.dummyfunction("""COMPUTED_VALUE"""),1)</f>
        <v>1</v>
      </c>
      <c r="E848" s="0" t="n">
        <f aca="false">IFERROR(__xludf.dummyfunction("""COMPUTED_VALUE"""),10)</f>
        <v>10</v>
      </c>
      <c r="F848" s="0" t="str">
        <f aca="false">IFERROR(__xludf.dummyfunction("filter(Formulas!$C:$C,Formulas!$A:$A=B848)"),"""formula"":[{""sku"":""1201"",""req"":1},{""sku"":""1105"",""req"":1},{""sku"":""1110"",""req"":1},{""sku"":""1112"",""req"":1},{""sku"":""1116"",""req"":1}]")</f>
        <v>"formula":[{"sku":"1201","req":1},{"sku":"1105","req":1},{"sku":"1110","req":1},{"sku":"1112","req":1},{"sku":"1116","req":1}]</v>
      </c>
      <c r="G848" s="0" t="n">
        <f aca="false">IFERROR(__xludf.dummyfunction("""COMPUTED_VALUE"""),1)</f>
        <v>1</v>
      </c>
      <c r="H848" s="21" t="str">
        <f aca="false">IFERROR(__xludf.dummyfunction("IF(D848,filter(Productos!AC:AC,Productos!A:A=B848),)"),"cocina")</f>
        <v>cocina</v>
      </c>
      <c r="I848" s="24" t="n">
        <f aca="false">IFERROR(__xludf.dummyfunction("""COMPUTED_VALUE"""),4900)</f>
        <v>4900</v>
      </c>
      <c r="K848" s="0" t="str">
        <f aca="false">IF(D848,"{""sku"":"""&amp;B848&amp;""", ""costo"":"&amp;C848&amp;", ""grupo"":"""&amp;A848&amp;""", ""lote"":"&amp;D848&amp;", ""tiempo"":"&amp;E848&amp;", "&amp;F848&amp;", ""vencimiento"":"&amp;G848&amp;IF(I848,", ""precio"":"&amp;I848,)&amp;", ""tipo"":"""&amp;H848&amp;"""},",)</f>
        <v>{"sku":"10014", "costo":10, "grupo":"12", "lote":1, "tiempo":10, "formula":[{"sku":"1201","req":1},{"sku":"1105","req":1},{"sku":"1110","req":1},{"sku":"1112","req":1},{"sku":"1116","req":1}], "vencimiento":1, "precio":4900, "tipo":"cocina"},</v>
      </c>
    </row>
    <row r="849" customFormat="false" ht="13" hidden="false" customHeight="false" outlineLevel="0" collapsed="false">
      <c r="A849" s="17" t="n">
        <v>12</v>
      </c>
      <c r="B849" s="0" t="n">
        <f aca="false">IFERROR(__xludf.dummyfunction("""COMPUTED_VALUE"""),10015)</f>
        <v>10015</v>
      </c>
      <c r="C849" s="24" t="n">
        <f aca="false">IFERROR(__xludf.dummyfunction("""COMPUTED_VALUE"""),10)</f>
        <v>10</v>
      </c>
      <c r="D849" s="0" t="n">
        <f aca="false">IFERROR(__xludf.dummyfunction("""COMPUTED_VALUE"""),1)</f>
        <v>1</v>
      </c>
      <c r="E849" s="0" t="n">
        <f aca="false">IFERROR(__xludf.dummyfunction("""COMPUTED_VALUE"""),20)</f>
        <v>20</v>
      </c>
      <c r="F849" s="0" t="str">
        <f aca="false">IFERROR(__xludf.dummyfunction("filter(Formulas!$C:$C,Formulas!$A:$A=B849)"),"""formula"":[{""sku"":""1201"",""req"":1},{""sku"":""1109"",""req"":1},{""sku"":""1115"",""req"":1},{""sku"":""1110"",""req"":1},{""sku"":""1112"",""req"":1},{""sku"":""1116"",""req"":1}]")</f>
        <v>"formula":[{"sku":"1201","req":1},{"sku":"1109","req":1},{"sku":"1115","req":1},{"sku":"1110","req":1},{"sku":"1112","req":1},{"sku":"1116","req":1}]</v>
      </c>
      <c r="G849" s="0" t="n">
        <f aca="false">IFERROR(__xludf.dummyfunction("""COMPUTED_VALUE"""),1)</f>
        <v>1</v>
      </c>
      <c r="H849" s="21" t="str">
        <f aca="false">IFERROR(__xludf.dummyfunction("IF(D849,filter(Productos!AC:AC,Productos!A:A=B849),)"),"cocina")</f>
        <v>cocina</v>
      </c>
      <c r="I849" s="24" t="n">
        <f aca="false">IFERROR(__xludf.dummyfunction("""COMPUTED_VALUE"""),5700)</f>
        <v>5700</v>
      </c>
      <c r="K849" s="0" t="str">
        <f aca="false">IF(D849,"{""sku"":"""&amp;B849&amp;""", ""costo"":"&amp;C849&amp;", ""grupo"":"""&amp;A849&amp;""", ""lote"":"&amp;D849&amp;", ""tiempo"":"&amp;E849&amp;", "&amp;F849&amp;", ""vencimiento"":"&amp;G849&amp;IF(I849,", ""precio"":"&amp;I849,)&amp;", ""tipo"":"""&amp;H849&amp;"""},",)</f>
        <v>{"sku":"10015", "costo":10, "grupo":"12", "lote":1, "tiempo":20, "formula":[{"sku":"1201","req":1},{"sku":"1109","req":1},{"sku":"1115","req":1},{"sku":"1110","req":1},{"sku":"1112","req":1},{"sku":"1116","req":1}], "vencimiento":1, "precio":5700, "tipo":"cocina"},</v>
      </c>
    </row>
    <row r="850" customFormat="false" ht="13" hidden="false" customHeight="false" outlineLevel="0" collapsed="false">
      <c r="A850" s="16" t="n">
        <v>12</v>
      </c>
      <c r="B850" s="0" t="n">
        <f aca="false">IFERROR(__xludf.dummyfunction("""COMPUTED_VALUE"""),10016)</f>
        <v>10016</v>
      </c>
      <c r="C850" s="24" t="n">
        <f aca="false">IFERROR(__xludf.dummyfunction("""COMPUTED_VALUE"""),10)</f>
        <v>10</v>
      </c>
      <c r="D850" s="0" t="n">
        <f aca="false">IFERROR(__xludf.dummyfunction("""COMPUTED_VALUE"""),1)</f>
        <v>1</v>
      </c>
      <c r="E850" s="0" t="n">
        <f aca="false">IFERROR(__xludf.dummyfunction("""COMPUTED_VALUE"""),20)</f>
        <v>20</v>
      </c>
      <c r="F850" s="0" t="str">
        <f aca="false">IFERROR(__xludf.dummyfunction("filter(Formulas!$C:$C,Formulas!$A:$A=B850)"),"""formula"":[{""sku"":""1201"",""req"":1},{""sku"":""1106"",""req"":4},{""sku"":""1110"",""req"":1},{""sku"":""1112"",""req"":1},{""sku"":""1107"",""req"":1},{""sku"":""1116"",""req"":1}]")</f>
        <v>"formula":[{"sku":"1201","req":1},{"sku":"1106","req":4},{"sku":"1110","req":1},{"sku":"1112","req":1},{"sku":"1107","req":1},{"sku":"1116","req":1}]</v>
      </c>
      <c r="G850" s="0" t="n">
        <f aca="false">IFERROR(__xludf.dummyfunction("""COMPUTED_VALUE"""),1)</f>
        <v>1</v>
      </c>
      <c r="H850" s="21" t="str">
        <f aca="false">IFERROR(__xludf.dummyfunction("IF(D850,filter(Productos!AC:AC,Productos!A:A=B850),)"),"cocina")</f>
        <v>cocina</v>
      </c>
      <c r="I850" s="24" t="n">
        <f aca="false">IFERROR(__xludf.dummyfunction("""COMPUTED_VALUE"""),5700)</f>
        <v>5700</v>
      </c>
      <c r="K850" s="0" t="str">
        <f aca="false">IF(D850,"{""sku"":"""&amp;B850&amp;""", ""costo"":"&amp;C850&amp;", ""grupo"":"""&amp;A850&amp;""", ""lote"":"&amp;D850&amp;", ""tiempo"":"&amp;E850&amp;", "&amp;F850&amp;", ""vencimiento"":"&amp;G850&amp;IF(I850,", ""precio"":"&amp;I850,)&amp;", ""tipo"":"""&amp;H850&amp;"""},",)</f>
        <v>{"sku":"10016", "costo":10, "grupo":"12", "lote":1, "tiempo":20, "formula":[{"sku":"1201","req":1},{"sku":"1106","req":4},{"sku":"1110","req":1},{"sku":"1112","req":1},{"sku":"1107","req":1},{"sku":"1116","req":1}], "vencimiento":1, "precio":5700, "tipo":"cocina"},</v>
      </c>
    </row>
    <row r="851" customFormat="false" ht="13" hidden="false" customHeight="false" outlineLevel="0" collapsed="false">
      <c r="A851" s="17" t="n">
        <v>12</v>
      </c>
      <c r="B851" s="0" t="n">
        <f aca="false">IFERROR(__xludf.dummyfunction("""COMPUTED_VALUE"""),10017)</f>
        <v>10017</v>
      </c>
      <c r="C851" s="24" t="n">
        <f aca="false">IFERROR(__xludf.dummyfunction("""COMPUTED_VALUE"""),10)</f>
        <v>10</v>
      </c>
      <c r="D851" s="0" t="n">
        <f aca="false">IFERROR(__xludf.dummyfunction("""COMPUTED_VALUE"""),1)</f>
        <v>1</v>
      </c>
      <c r="E851" s="0" t="n">
        <f aca="false">IFERROR(__xludf.dummyfunction("""COMPUTED_VALUE"""),10)</f>
        <v>10</v>
      </c>
      <c r="F851" s="0" t="str">
        <f aca="false">IFERROR(__xludf.dummyfunction("filter(Formulas!$C:$C,Formulas!$A:$A=B851)"),"""formula"":[{""sku"":""1201"",""req"":1},{""sku"":""1110"",""req"":1},{""sku"":""1112"",""req"":1},{""sku"":""1107"",""req"":1},{""sku"":""1116"",""req"":1}]")</f>
        <v>"formula":[{"sku":"1201","req":1},{"sku":"1110","req":1},{"sku":"1112","req":1},{"sku":"1107","req":1},{"sku":"1116","req":1}]</v>
      </c>
      <c r="G851" s="0" t="n">
        <f aca="false">IFERROR(__xludf.dummyfunction("""COMPUTED_VALUE"""),1)</f>
        <v>1</v>
      </c>
      <c r="H851" s="21" t="str">
        <f aca="false">IFERROR(__xludf.dummyfunction("IF(D851,filter(Productos!AC:AC,Productos!A:A=B851),)"),"cocina")</f>
        <v>cocina</v>
      </c>
      <c r="I851" s="24" t="n">
        <f aca="false">IFERROR(__xludf.dummyfunction("""COMPUTED_VALUE"""),5700)</f>
        <v>5700</v>
      </c>
      <c r="K851" s="0" t="str">
        <f aca="false">IF(D851,"{""sku"":"""&amp;B851&amp;""", ""costo"":"&amp;C851&amp;", ""grupo"":"""&amp;A851&amp;""", ""lote"":"&amp;D851&amp;", ""tiempo"":"&amp;E851&amp;", "&amp;F851&amp;", ""vencimiento"":"&amp;G851&amp;IF(I851,", ""precio"":"&amp;I851,)&amp;", ""tipo"":"""&amp;H851&amp;"""},",)</f>
        <v>{"sku":"10017", "costo":10, "grupo":"12", "lote":1, "tiempo":10, "formula":[{"sku":"1201","req":1},{"sku":"1110","req":1},{"sku":"1112","req":1},{"sku":"1107","req":1},{"sku":"1116","req":1}], "vencimiento":1, "precio":5700, "tipo":"cocina"},</v>
      </c>
    </row>
    <row r="852" customFormat="false" ht="13" hidden="false" customHeight="false" outlineLevel="0" collapsed="false">
      <c r="A852" s="16" t="n">
        <v>12</v>
      </c>
      <c r="B852" s="0" t="n">
        <f aca="false">IFERROR(__xludf.dummyfunction("""COMPUTED_VALUE"""),10018)</f>
        <v>10018</v>
      </c>
      <c r="C852" s="24" t="n">
        <f aca="false">IFERROR(__xludf.dummyfunction("""COMPUTED_VALUE"""),10)</f>
        <v>10</v>
      </c>
      <c r="D852" s="0" t="n">
        <f aca="false">IFERROR(__xludf.dummyfunction("""COMPUTED_VALUE"""),1)</f>
        <v>1</v>
      </c>
      <c r="E852" s="0" t="n">
        <f aca="false">IFERROR(__xludf.dummyfunction("""COMPUTED_VALUE"""),10)</f>
        <v>10</v>
      </c>
      <c r="F852" s="0" t="str">
        <f aca="false">IFERROR(__xludf.dummyfunction("filter(Formulas!$C:$C,Formulas!$A:$A=B852)"),"""formula"":[{""sku"":""1201"",""req"":1},{""sku"":""1105"",""req"":1},{""sku"":""1112"",""req"":1},{""sku"":""1407"",""req"":1},{""sku"":""1116"",""req"":1}]")</f>
        <v>"formula":[{"sku":"1201","req":1},{"sku":"1105","req":1},{"sku":"1112","req":1},{"sku":"1407","req":1},{"sku":"1116","req":1}]</v>
      </c>
      <c r="G852" s="0" t="n">
        <f aca="false">IFERROR(__xludf.dummyfunction("""COMPUTED_VALUE"""),1)</f>
        <v>1</v>
      </c>
      <c r="H852" s="21" t="str">
        <f aca="false">IFERROR(__xludf.dummyfunction("IF(D852,filter(Productos!AC:AC,Productos!A:A=B852),)"),"cocina")</f>
        <v>cocina</v>
      </c>
      <c r="I852" s="24" t="n">
        <f aca="false">IFERROR(__xludf.dummyfunction("""COMPUTED_VALUE"""),5700)</f>
        <v>5700</v>
      </c>
      <c r="K852" s="0" t="str">
        <f aca="false">IF(D852,"{""sku"":"""&amp;B852&amp;""", ""costo"":"&amp;C852&amp;", ""grupo"":"""&amp;A852&amp;""", ""lote"":"&amp;D852&amp;", ""tiempo"":"&amp;E852&amp;", "&amp;F852&amp;", ""vencimiento"":"&amp;G852&amp;IF(I852,", ""precio"":"&amp;I852,)&amp;", ""tipo"":"""&amp;H852&amp;"""},",)</f>
        <v>{"sku":"10018", "costo":10, "grupo":"12", "lote":1, "tiempo":10, "formula":[{"sku":"1201","req":1},{"sku":"1105","req":1},{"sku":"1112","req":1},{"sku":"1407","req":1},{"sku":"1116","req":1}], "vencimiento":1, "precio":5700, "tipo":"cocina"},</v>
      </c>
    </row>
    <row r="853" customFormat="false" ht="13" hidden="false" customHeight="false" outlineLevel="0" collapsed="false">
      <c r="A853" s="17" t="n">
        <v>12</v>
      </c>
      <c r="B853" s="0" t="n">
        <f aca="false">IFERROR(__xludf.dummyfunction("""COMPUTED_VALUE"""),10019)</f>
        <v>10019</v>
      </c>
      <c r="C853" s="24" t="n">
        <f aca="false">IFERROR(__xludf.dummyfunction("""COMPUTED_VALUE"""),10)</f>
        <v>10</v>
      </c>
      <c r="D853" s="0" t="n">
        <f aca="false">IFERROR(__xludf.dummyfunction("""COMPUTED_VALUE"""),1)</f>
        <v>1</v>
      </c>
      <c r="E853" s="0" t="n">
        <f aca="false">IFERROR(__xludf.dummyfunction("""COMPUTED_VALUE"""),10)</f>
        <v>10</v>
      </c>
      <c r="F853" s="0" t="str">
        <f aca="false">IFERROR(__xludf.dummyfunction("filter(Formulas!$C:$C,Formulas!$A:$A=B853)"),"""formula"":[{""sku"":""1201"",""req"":1},{""sku"":""1106"",""req"":4},{""sku"":""1210"",""req"":1},{""sku"":""1116"",""req"":1},{""sku"":""1407"",""req"":1}]")</f>
        <v>"formula":[{"sku":"1201","req":1},{"sku":"1106","req":4},{"sku":"1210","req":1},{"sku":"1116","req":1},{"sku":"1407","req":1}]</v>
      </c>
      <c r="G853" s="0" t="n">
        <f aca="false">IFERROR(__xludf.dummyfunction("""COMPUTED_VALUE"""),1)</f>
        <v>1</v>
      </c>
      <c r="H853" s="21" t="str">
        <f aca="false">IFERROR(__xludf.dummyfunction("IF(D853,filter(Productos!AC:AC,Productos!A:A=B853),)"),"cocina")</f>
        <v>cocina</v>
      </c>
      <c r="I853" s="24" t="n">
        <f aca="false">IFERROR(__xludf.dummyfunction("""COMPUTED_VALUE"""),5700)</f>
        <v>5700</v>
      </c>
      <c r="K853" s="0" t="str">
        <f aca="false">IF(D853,"{""sku"":"""&amp;B853&amp;""", ""costo"":"&amp;C853&amp;", ""grupo"":"""&amp;A853&amp;""", ""lote"":"&amp;D853&amp;", ""tiempo"":"&amp;E853&amp;", "&amp;F853&amp;", ""vencimiento"":"&amp;G853&amp;IF(I853,", ""precio"":"&amp;I853,)&amp;", ""tipo"":"""&amp;H853&amp;"""},",)</f>
        <v>{"sku":"10019", "costo":10, "grupo":"12", "lote":1, "tiempo":10, "formula":[{"sku":"1201","req":1},{"sku":"1106","req":4},{"sku":"1210","req":1},{"sku":"1116","req":1},{"sku":"1407","req":1}], "vencimiento":1, "precio":5700, "tipo":"cocina"},</v>
      </c>
    </row>
    <row r="854" customFormat="false" ht="13" hidden="false" customHeight="false" outlineLevel="0" collapsed="false">
      <c r="A854" s="16" t="n">
        <v>12</v>
      </c>
      <c r="B854" s="0" t="n">
        <f aca="false">IFERROR(__xludf.dummyfunction("""COMPUTED_VALUE"""),10020)</f>
        <v>10020</v>
      </c>
      <c r="C854" s="24" t="n">
        <f aca="false">IFERROR(__xludf.dummyfunction("""COMPUTED_VALUE"""),10)</f>
        <v>10</v>
      </c>
      <c r="D854" s="0" t="n">
        <f aca="false">IFERROR(__xludf.dummyfunction("""COMPUTED_VALUE"""),1)</f>
        <v>1</v>
      </c>
      <c r="E854" s="0" t="n">
        <f aca="false">IFERROR(__xludf.dummyfunction("""COMPUTED_VALUE"""),20)</f>
        <v>20</v>
      </c>
      <c r="F854" s="0" t="str">
        <f aca="false">IFERROR(__xludf.dummyfunction("filter(Formulas!$C:$C,Formulas!$A:$A=B854)"),"""formula"":[{""sku"":""1201"",""req"":1},{""sku"":""1116"",""req"":1},{""sku"":""1106"",""req"":4},{""sku"":""1112"",""req"":1},{""sku"":""1114"",""req"":1},{""sku"":""1407"",""req"":1}]")</f>
        <v>"formula":[{"sku":"1201","req":1},{"sku":"1116","req":1},{"sku":"1106","req":4},{"sku":"1112","req":1},{"sku":"1114","req":1},{"sku":"1407","req":1}]</v>
      </c>
      <c r="G854" s="0" t="n">
        <f aca="false">IFERROR(__xludf.dummyfunction("""COMPUTED_VALUE"""),1)</f>
        <v>1</v>
      </c>
      <c r="H854" s="21" t="str">
        <f aca="false">IFERROR(__xludf.dummyfunction("IF(D854,filter(Productos!AC:AC,Productos!A:A=B854),)"),"cocina")</f>
        <v>cocina</v>
      </c>
      <c r="I854" s="24" t="n">
        <f aca="false">IFERROR(__xludf.dummyfunction("""COMPUTED_VALUE"""),5900)</f>
        <v>5900</v>
      </c>
      <c r="K854" s="0" t="str">
        <f aca="false">IF(D854,"{""sku"":"""&amp;B854&amp;""", ""costo"":"&amp;C854&amp;", ""grupo"":"""&amp;A854&amp;""", ""lote"":"&amp;D854&amp;", ""tiempo"":"&amp;E854&amp;", "&amp;F854&amp;", ""vencimiento"":"&amp;G854&amp;IF(I854,", ""precio"":"&amp;I854,)&amp;", ""tipo"":"""&amp;H854&amp;"""},",)</f>
        <v>{"sku":"10020", "costo":10, "grupo":"12", "lote":1, "tiempo":20, "formula":[{"sku":"1201","req":1},{"sku":"1116","req":1},{"sku":"1106","req":4},{"sku":"1112","req":1},{"sku":"1114","req":1},{"sku":"1407","req":1}], "vencimiento":1, "precio":5900, "tipo":"cocina"},</v>
      </c>
    </row>
    <row r="855" customFormat="false" ht="13" hidden="false" customHeight="false" outlineLevel="0" collapsed="false">
      <c r="A855" s="17" t="n">
        <v>12</v>
      </c>
      <c r="B855" s="0" t="n">
        <f aca="false">IFERROR(__xludf.dummyfunction("""COMPUTED_VALUE"""),10021)</f>
        <v>10021</v>
      </c>
      <c r="C855" s="24" t="n">
        <f aca="false">IFERROR(__xludf.dummyfunction("""COMPUTED_VALUE"""),10)</f>
        <v>10</v>
      </c>
      <c r="D855" s="0" t="n">
        <f aca="false">IFERROR(__xludf.dummyfunction("""COMPUTED_VALUE"""),1)</f>
        <v>1</v>
      </c>
      <c r="E855" s="0" t="n">
        <f aca="false">IFERROR(__xludf.dummyfunction("""COMPUTED_VALUE"""),10)</f>
        <v>10</v>
      </c>
      <c r="F855" s="0" t="str">
        <f aca="false">IFERROR(__xludf.dummyfunction("filter(Formulas!$C:$C,Formulas!$A:$A=B855)"),"""formula"":[{""sku"":""1201"",""req"":1},{""sku"":""1116"",""req"":1},{""sku"":""1109"",""req"":1},{""sku"":""1114"",""req"":1},{""sku"":""1407"",""req"":1}]")</f>
        <v>"formula":[{"sku":"1201","req":1},{"sku":"1116","req":1},{"sku":"1109","req":1},{"sku":"1114","req":1},{"sku":"1407","req":1}]</v>
      </c>
      <c r="G855" s="0" t="n">
        <f aca="false">IFERROR(__xludf.dummyfunction("""COMPUTED_VALUE"""),1)</f>
        <v>1</v>
      </c>
      <c r="H855" s="21" t="str">
        <f aca="false">IFERROR(__xludf.dummyfunction("IF(D855,filter(Productos!AC:AC,Productos!A:A=B855),)"),"cocina")</f>
        <v>cocina</v>
      </c>
      <c r="I855" s="24" t="n">
        <f aca="false">IFERROR(__xludf.dummyfunction("""COMPUTED_VALUE"""),5900)</f>
        <v>5900</v>
      </c>
      <c r="K855" s="0" t="str">
        <f aca="false">IF(D855,"{""sku"":"""&amp;B855&amp;""", ""costo"":"&amp;C855&amp;", ""grupo"":"""&amp;A855&amp;""", ""lote"":"&amp;D855&amp;", ""tiempo"":"&amp;E855&amp;", "&amp;F855&amp;", ""vencimiento"":"&amp;G855&amp;IF(I855,", ""precio"":"&amp;I855,)&amp;", ""tipo"":"""&amp;H855&amp;"""},",)</f>
        <v>{"sku":"10021", "costo":10, "grupo":"12", "lote":1, "tiempo":10, "formula":[{"sku":"1201","req":1},{"sku":"1116","req":1},{"sku":"1109","req":1},{"sku":"1114","req":1},{"sku":"1407","req":1}], "vencimiento":1, "precio":5900, "tipo":"cocina"},</v>
      </c>
    </row>
    <row r="856" customFormat="false" ht="13" hidden="false" customHeight="false" outlineLevel="0" collapsed="false">
      <c r="A856" s="16" t="n">
        <v>12</v>
      </c>
      <c r="B856" s="0" t="n">
        <f aca="false">IFERROR(__xludf.dummyfunction("""COMPUTED_VALUE"""),10022)</f>
        <v>10022</v>
      </c>
      <c r="C856" s="24" t="n">
        <f aca="false">IFERROR(__xludf.dummyfunction("""COMPUTED_VALUE"""),10)</f>
        <v>10</v>
      </c>
      <c r="D856" s="0" t="n">
        <f aca="false">IFERROR(__xludf.dummyfunction("""COMPUTED_VALUE"""),1)</f>
        <v>1</v>
      </c>
      <c r="E856" s="0" t="n">
        <f aca="false">IFERROR(__xludf.dummyfunction("""COMPUTED_VALUE"""),20)</f>
        <v>20</v>
      </c>
      <c r="F856" s="0" t="str">
        <f aca="false">IFERROR(__xludf.dummyfunction("filter(Formulas!$C:$C,Formulas!$A:$A=B856)"),"""formula"":[{""sku"":""1201"",""req"":1},{""sku"":""1116"",""req"":1},{""sku"":""1107"",""req"":1},{""sku"":""1112"",""req"":1},{""sku"":""1210"",""req"":1},{""sku"":""1215"",""req"":1}]")</f>
        <v>"formula":[{"sku":"1201","req":1},{"sku":"1116","req":1},{"sku":"1107","req":1},{"sku":"1112","req":1},{"sku":"1210","req":1},{"sku":"1215","req":1}]</v>
      </c>
      <c r="G856" s="0" t="n">
        <f aca="false">IFERROR(__xludf.dummyfunction("""COMPUTED_VALUE"""),1)</f>
        <v>1</v>
      </c>
      <c r="H856" s="21" t="str">
        <f aca="false">IFERROR(__xludf.dummyfunction("IF(D856,filter(Productos!AC:AC,Productos!A:A=B856),)"),"cocina")</f>
        <v>cocina</v>
      </c>
      <c r="I856" s="24" t="n">
        <f aca="false">IFERROR(__xludf.dummyfunction("""COMPUTED_VALUE"""),5500)</f>
        <v>5500</v>
      </c>
      <c r="K856" s="0" t="str">
        <f aca="false">IF(D856,"{""sku"":"""&amp;B856&amp;""", ""costo"":"&amp;C856&amp;", ""grupo"":"""&amp;A856&amp;""", ""lote"":"&amp;D856&amp;", ""tiempo"":"&amp;E856&amp;", "&amp;F856&amp;", ""vencimiento"":"&amp;G856&amp;IF(I856,", ""precio"":"&amp;I856,)&amp;", ""tipo"":"""&amp;H856&amp;"""},",)</f>
        <v>{"sku":"10022", "costo":10, "grupo":"12", "lote":1, "tiempo":20, "formula":[{"sku":"1201","req":1},{"sku":"1116","req":1},{"sku":"1107","req":1},{"sku":"1112","req":1},{"sku":"1210","req":1},{"sku":"1215","req":1}], "vencimiento":1, "precio":5500, "tipo":"cocina"},</v>
      </c>
    </row>
    <row r="857" customFormat="false" ht="13" hidden="false" customHeight="false" outlineLevel="0" collapsed="false">
      <c r="A857" s="17" t="n">
        <v>12</v>
      </c>
      <c r="B857" s="0" t="n">
        <f aca="false">IFERROR(__xludf.dummyfunction("""COMPUTED_VALUE"""),10023)</f>
        <v>10023</v>
      </c>
      <c r="C857" s="24" t="n">
        <f aca="false">IFERROR(__xludf.dummyfunction("""COMPUTED_VALUE"""),10)</f>
        <v>10</v>
      </c>
      <c r="D857" s="0" t="n">
        <f aca="false">IFERROR(__xludf.dummyfunction("""COMPUTED_VALUE"""),1)</f>
        <v>1</v>
      </c>
      <c r="E857" s="0" t="n">
        <f aca="false">IFERROR(__xludf.dummyfunction("""COMPUTED_VALUE"""),20)</f>
        <v>20</v>
      </c>
      <c r="F857" s="0" t="str">
        <f aca="false">IFERROR(__xludf.dummyfunction("filter(Formulas!$C:$C,Formulas!$A:$A=B857)"),"""formula"":[{""sku"":""1201"",""req"":1},{""sku"":""1116"",""req"":1},{""sku"":""1109"",""req"":1},{""sku"":""1112"",""req"":1},{""sku"":""1210"",""req"":1},{""sku"":""1215"",""req"":1}]")</f>
        <v>"formula":[{"sku":"1201","req":1},{"sku":"1116","req":1},{"sku":"1109","req":1},{"sku":"1112","req":1},{"sku":"1210","req":1},{"sku":"1215","req":1}]</v>
      </c>
      <c r="G857" s="0" t="n">
        <f aca="false">IFERROR(__xludf.dummyfunction("""COMPUTED_VALUE"""),1)</f>
        <v>1</v>
      </c>
      <c r="H857" s="21" t="str">
        <f aca="false">IFERROR(__xludf.dummyfunction("IF(D857,filter(Productos!AC:AC,Productos!A:A=B857),)"),"cocina")</f>
        <v>cocina</v>
      </c>
      <c r="I857" s="24" t="n">
        <f aca="false">IFERROR(__xludf.dummyfunction("""COMPUTED_VALUE"""),5500)</f>
        <v>5500</v>
      </c>
      <c r="K857" s="0" t="str">
        <f aca="false">IF(D857,"{""sku"":"""&amp;B857&amp;""", ""costo"":"&amp;C857&amp;", ""grupo"":"""&amp;A857&amp;""", ""lote"":"&amp;D857&amp;", ""tiempo"":"&amp;E857&amp;", "&amp;F857&amp;", ""vencimiento"":"&amp;G857&amp;IF(I857,", ""precio"":"&amp;I857,)&amp;", ""tipo"":"""&amp;H857&amp;"""},",)</f>
        <v>{"sku":"10023", "costo":10, "grupo":"12", "lote":1, "tiempo":20, "formula":[{"sku":"1201","req":1},{"sku":"1116","req":1},{"sku":"1109","req":1},{"sku":"1112","req":1},{"sku":"1210","req":1},{"sku":"1215","req":1}], "vencimiento":1, "precio":5500, "tipo":"cocina"},</v>
      </c>
    </row>
    <row r="858" customFormat="false" ht="13" hidden="false" customHeight="false" outlineLevel="0" collapsed="false">
      <c r="A858" s="16" t="n">
        <v>12</v>
      </c>
      <c r="B858" s="0" t="n">
        <f aca="false">IFERROR(__xludf.dummyfunction("""COMPUTED_VALUE"""),10024)</f>
        <v>10024</v>
      </c>
      <c r="C858" s="24" t="n">
        <f aca="false">IFERROR(__xludf.dummyfunction("""COMPUTED_VALUE"""),10)</f>
        <v>10</v>
      </c>
      <c r="D858" s="0" t="n">
        <f aca="false">IFERROR(__xludf.dummyfunction("""COMPUTED_VALUE"""),1)</f>
        <v>1</v>
      </c>
      <c r="E858" s="0" t="n">
        <f aca="false">IFERROR(__xludf.dummyfunction("""COMPUTED_VALUE"""),20)</f>
        <v>20</v>
      </c>
      <c r="F858" s="0" t="str">
        <f aca="false">IFERROR(__xludf.dummyfunction("filter(Formulas!$C:$C,Formulas!$A:$A=B858)"),"""formula"":[{""sku"":""1201"",""req"":1},{""sku"":""1116"",""req"":1},{""sku"":""1210"",""req"":1},{""sku"":""1114"",""req"":1},{""sku"":""1115"",""req"":1},{""sku"":""1211"",""req"":1}]")</f>
        <v>"formula":[{"sku":"1201","req":1},{"sku":"1116","req":1},{"sku":"1210","req":1},{"sku":"1114","req":1},{"sku":"1115","req":1},{"sku":"1211","req":1}]</v>
      </c>
      <c r="G858" s="0" t="n">
        <f aca="false">IFERROR(__xludf.dummyfunction("""COMPUTED_VALUE"""),1)</f>
        <v>1</v>
      </c>
      <c r="H858" s="21" t="str">
        <f aca="false">IFERROR(__xludf.dummyfunction("IF(D858,filter(Productos!AC:AC,Productos!A:A=B858),)"),"cocina")</f>
        <v>cocina</v>
      </c>
      <c r="I858" s="24" t="n">
        <f aca="false">IFERROR(__xludf.dummyfunction("""COMPUTED_VALUE"""),4900)</f>
        <v>4900</v>
      </c>
      <c r="K858" s="0" t="str">
        <f aca="false">IF(D858,"{""sku"":"""&amp;B858&amp;""", ""costo"":"&amp;C858&amp;", ""grupo"":"""&amp;A858&amp;""", ""lote"":"&amp;D858&amp;", ""tiempo"":"&amp;E858&amp;", "&amp;F858&amp;", ""vencimiento"":"&amp;G858&amp;IF(I858,", ""precio"":"&amp;I858,)&amp;", ""tipo"":"""&amp;H858&amp;"""},",)</f>
        <v>{"sku":"10024", "costo":10, "grupo":"12", "lote":1, "tiempo":20, "formula":[{"sku":"1201","req":1},{"sku":"1116","req":1},{"sku":"1210","req":1},{"sku":"1114","req":1},{"sku":"1115","req":1},{"sku":"1211","req":1}], "vencimiento":1, "precio":4900, "tipo":"cocina"},</v>
      </c>
    </row>
    <row r="859" customFormat="false" ht="13" hidden="false" customHeight="false" outlineLevel="0" collapsed="false">
      <c r="A859" s="17" t="n">
        <v>12</v>
      </c>
      <c r="B859" s="0" t="n">
        <f aca="false">IFERROR(__xludf.dummyfunction("""COMPUTED_VALUE"""),10025)</f>
        <v>10025</v>
      </c>
      <c r="C859" s="24" t="n">
        <f aca="false">IFERROR(__xludf.dummyfunction("""COMPUTED_VALUE"""),10)</f>
        <v>10</v>
      </c>
      <c r="D859" s="0" t="n">
        <f aca="false">IFERROR(__xludf.dummyfunction("""COMPUTED_VALUE"""),1)</f>
        <v>1</v>
      </c>
      <c r="E859" s="0" t="n">
        <f aca="false">IFERROR(__xludf.dummyfunction("""COMPUTED_VALUE"""),20)</f>
        <v>20</v>
      </c>
      <c r="F859" s="0" t="str">
        <f aca="false">IFERROR(__xludf.dummyfunction("filter(Formulas!$C:$C,Formulas!$A:$A=B859)"),"""formula"":[{""sku"":""1201"",""req"":1},{""sku"":""1116"",""req"":1},{""sku"":""1210"",""req"":1},{""sku"":""1114"",""req"":1},{""sku"":""1115"",""req"":1},{""sku"":""1013"",""req"":5}]")</f>
        <v>"formula":[{"sku":"1201","req":1},{"sku":"1116","req":1},{"sku":"1210","req":1},{"sku":"1114","req":1},{"sku":"1115","req":1},{"sku":"1013","req":5}]</v>
      </c>
      <c r="G859" s="0" t="n">
        <f aca="false">IFERROR(__xludf.dummyfunction("""COMPUTED_VALUE"""),1)</f>
        <v>1</v>
      </c>
      <c r="H859" s="21" t="str">
        <f aca="false">IFERROR(__xludf.dummyfunction("IF(D859,filter(Productos!AC:AC,Productos!A:A=B859),)"),"cocina")</f>
        <v>cocina</v>
      </c>
      <c r="I859" s="24" t="n">
        <f aca="false">IFERROR(__xludf.dummyfunction("""COMPUTED_VALUE"""),4900)</f>
        <v>4900</v>
      </c>
      <c r="K859" s="0" t="str">
        <f aca="false">IF(D859,"{""sku"":"""&amp;B859&amp;""", ""costo"":"&amp;C859&amp;", ""grupo"":"""&amp;A859&amp;""", ""lote"":"&amp;D859&amp;", ""tiempo"":"&amp;E859&amp;", "&amp;F859&amp;", ""vencimiento"":"&amp;G859&amp;IF(I859,", ""precio"":"&amp;I859,)&amp;", ""tipo"":"""&amp;H859&amp;"""},",)</f>
        <v>{"sku":"10025", "costo":10, "grupo":"12", "lote":1, "tiempo":20, "formula":[{"sku":"1201","req":1},{"sku":"1116","req":1},{"sku":"1210","req":1},{"sku":"1114","req":1},{"sku":"1115","req":1},{"sku":"1013","req":5}], "vencimiento":1, "precio":4900, "tipo":"cocina"},</v>
      </c>
    </row>
    <row r="860" customFormat="false" ht="13" hidden="false" customHeight="false" outlineLevel="0" collapsed="false">
      <c r="A860" s="16" t="n">
        <v>12</v>
      </c>
      <c r="B860" s="0" t="n">
        <f aca="false">IFERROR(__xludf.dummyfunction("""COMPUTED_VALUE"""),20001)</f>
        <v>20001</v>
      </c>
      <c r="C860" s="24" t="n">
        <f aca="false">IFERROR(__xludf.dummyfunction("""COMPUTED_VALUE"""),10)</f>
        <v>10</v>
      </c>
      <c r="D860" s="0" t="n">
        <f aca="false">IFERROR(__xludf.dummyfunction("""COMPUTED_VALUE"""),1)</f>
        <v>1</v>
      </c>
      <c r="E860" s="0" t="n">
        <f aca="false">IFERROR(__xludf.dummyfunction("""COMPUTED_VALUE"""),10)</f>
        <v>10</v>
      </c>
      <c r="F860" s="0" t="str">
        <f aca="false">IFERROR(__xludf.dummyfunction("filter(Formulas!$C:$C,Formulas!$A:$A=B860)"),"""formula"":[{""sku"":""1301"",""req"":1},{""sku"":""1207"",""req"":1},{""sku"":""1310"",""req"":1},{""sku"":""1112"",""req"":1},{""sku"":""1216"",""req"":1}]")</f>
        <v>"formula":[{"sku":"1301","req":1},{"sku":"1207","req":1},{"sku":"1310","req":1},{"sku":"1112","req":1},{"sku":"1216","req":1}]</v>
      </c>
      <c r="G860" s="0" t="n">
        <f aca="false">IFERROR(__xludf.dummyfunction("""COMPUTED_VALUE"""),1)</f>
        <v>1</v>
      </c>
      <c r="H860" s="21" t="str">
        <f aca="false">IFERROR(__xludf.dummyfunction("IF(D860,filter(Productos!AC:AC,Productos!A:A=B860),)"),"cocina")</f>
        <v>cocina</v>
      </c>
      <c r="I860" s="24" t="n">
        <f aca="false">IFERROR(__xludf.dummyfunction("""COMPUTED_VALUE"""),2700)</f>
        <v>2700</v>
      </c>
      <c r="K860" s="0" t="str">
        <f aca="false">IF(D860,"{""sku"":"""&amp;B860&amp;""", ""costo"":"&amp;C860&amp;", ""grupo"":"""&amp;A860&amp;""", ""lote"":"&amp;D860&amp;", ""tiempo"":"&amp;E860&amp;", "&amp;F860&amp;", ""vencimiento"":"&amp;G860&amp;IF(I860,", ""precio"":"&amp;I860,)&amp;", ""tipo"":"""&amp;H860&amp;"""},",)</f>
        <v>{"sku":"20001", "costo":10, "grupo":"12", "lote":1, "tiempo":10, "formula":[{"sku":"1301","req":1},{"sku":"1207","req":1},{"sku":"1310","req":1},{"sku":"1112","req":1},{"sku":"1216","req":1}], "vencimiento":1, "precio":2700, "tipo":"cocina"},</v>
      </c>
    </row>
    <row r="861" customFormat="false" ht="13" hidden="false" customHeight="false" outlineLevel="0" collapsed="false">
      <c r="A861" s="17" t="n">
        <v>12</v>
      </c>
      <c r="B861" s="0" t="n">
        <f aca="false">IFERROR(__xludf.dummyfunction("""COMPUTED_VALUE"""),20002)</f>
        <v>20002</v>
      </c>
      <c r="C861" s="24" t="n">
        <f aca="false">IFERROR(__xludf.dummyfunction("""COMPUTED_VALUE"""),10)</f>
        <v>10</v>
      </c>
      <c r="D861" s="0" t="n">
        <f aca="false">IFERROR(__xludf.dummyfunction("""COMPUTED_VALUE"""),1)</f>
        <v>1</v>
      </c>
      <c r="E861" s="0" t="n">
        <f aca="false">IFERROR(__xludf.dummyfunction("""COMPUTED_VALUE"""),10)</f>
        <v>10</v>
      </c>
      <c r="F861" s="0" t="str">
        <f aca="false">IFERROR(__xludf.dummyfunction("filter(Formulas!$C:$C,Formulas!$A:$A=B861)"),"""formula"":[{""sku"":""1301"",""req"":1},{""sku"":""1216"",""req"":1},{""sku"":""1106"",""req"":4}]")</f>
        <v>"formula":[{"sku":"1301","req":1},{"sku":"1216","req":1},{"sku":"1106","req":4}]</v>
      </c>
      <c r="G861" s="0" t="n">
        <f aca="false">IFERROR(__xludf.dummyfunction("""COMPUTED_VALUE"""),1)</f>
        <v>1</v>
      </c>
      <c r="H861" s="21" t="str">
        <f aca="false">IFERROR(__xludf.dummyfunction("IF(D861,filter(Productos!AC:AC,Productos!A:A=B861),)"),"cocina")</f>
        <v>cocina</v>
      </c>
      <c r="I861" s="24" t="n">
        <f aca="false">IFERROR(__xludf.dummyfunction("""COMPUTED_VALUE"""),2700)</f>
        <v>2700</v>
      </c>
      <c r="K861" s="0" t="str">
        <f aca="false">IF(D861,"{""sku"":"""&amp;B861&amp;""", ""costo"":"&amp;C861&amp;", ""grupo"":"""&amp;A861&amp;""", ""lote"":"&amp;D861&amp;", ""tiempo"":"&amp;E861&amp;", "&amp;F861&amp;", ""vencimiento"":"&amp;G861&amp;IF(I861,", ""precio"":"&amp;I861,)&amp;", ""tipo"":"""&amp;H861&amp;"""},",)</f>
        <v>{"sku":"20002", "costo":10, "grupo":"12", "lote":1, "tiempo":10, "formula":[{"sku":"1301","req":1},{"sku":"1216","req":1},{"sku":"1106","req":4}], "vencimiento":1, "precio":2700, "tipo":"cocina"},</v>
      </c>
    </row>
    <row r="862" customFormat="false" ht="13" hidden="false" customHeight="false" outlineLevel="0" collapsed="false">
      <c r="A862" s="16" t="n">
        <v>12</v>
      </c>
      <c r="B862" s="0" t="n">
        <f aca="false">IFERROR(__xludf.dummyfunction("""COMPUTED_VALUE"""),20003)</f>
        <v>20003</v>
      </c>
      <c r="C862" s="24" t="n">
        <f aca="false">IFERROR(__xludf.dummyfunction("""COMPUTED_VALUE"""),10)</f>
        <v>10</v>
      </c>
      <c r="D862" s="0" t="n">
        <f aca="false">IFERROR(__xludf.dummyfunction("""COMPUTED_VALUE"""),1)</f>
        <v>1</v>
      </c>
      <c r="E862" s="0" t="n">
        <f aca="false">IFERROR(__xludf.dummyfunction("""COMPUTED_VALUE"""),10)</f>
        <v>10</v>
      </c>
      <c r="F862" s="0" t="str">
        <f aca="false">IFERROR(__xludf.dummyfunction("filter(Formulas!$C:$C,Formulas!$A:$A=B862)"),"""formula"":[{""sku"":""1301"",""req"":1},{""sku"":""1216"",""req"":1},{""sku"":""1207"",""req"":1}]")</f>
        <v>"formula":[{"sku":"1301","req":1},{"sku":"1216","req":1},{"sku":"1207","req":1}]</v>
      </c>
      <c r="G862" s="0" t="n">
        <f aca="false">IFERROR(__xludf.dummyfunction("""COMPUTED_VALUE"""),1)</f>
        <v>1</v>
      </c>
      <c r="H862" s="21" t="str">
        <f aca="false">IFERROR(__xludf.dummyfunction("IF(D862,filter(Productos!AC:AC,Productos!A:A=B862),)"),"cocina")</f>
        <v>cocina</v>
      </c>
      <c r="I862" s="24" t="n">
        <f aca="false">IFERROR(__xludf.dummyfunction("""COMPUTED_VALUE"""),2700)</f>
        <v>2700</v>
      </c>
      <c r="K862" s="0" t="str">
        <f aca="false">IF(D862,"{""sku"":"""&amp;B862&amp;""", ""costo"":"&amp;C862&amp;", ""grupo"":"""&amp;A862&amp;""", ""lote"":"&amp;D862&amp;", ""tiempo"":"&amp;E862&amp;", "&amp;F862&amp;", ""vencimiento"":"&amp;G862&amp;IF(I862,", ""precio"":"&amp;I862,)&amp;", ""tipo"":"""&amp;H862&amp;"""},",)</f>
        <v>{"sku":"20003", "costo":10, "grupo":"12", "lote":1, "tiempo":10, "formula":[{"sku":"1301","req":1},{"sku":"1216","req":1},{"sku":"1207","req":1}], "vencimiento":1, "precio":2700, "tipo":"cocina"},</v>
      </c>
    </row>
    <row r="863" customFormat="false" ht="13" hidden="false" customHeight="false" outlineLevel="0" collapsed="false">
      <c r="A863" s="17" t="n">
        <v>12</v>
      </c>
      <c r="B863" s="0" t="n">
        <f aca="false">IFERROR(__xludf.dummyfunction("""COMPUTED_VALUE"""),20004)</f>
        <v>20004</v>
      </c>
      <c r="C863" s="24" t="n">
        <f aca="false">IFERROR(__xludf.dummyfunction("""COMPUTED_VALUE"""),10)</f>
        <v>10</v>
      </c>
      <c r="D863" s="0" t="n">
        <f aca="false">IFERROR(__xludf.dummyfunction("""COMPUTED_VALUE"""),1)</f>
        <v>1</v>
      </c>
      <c r="E863" s="0" t="n">
        <f aca="false">IFERROR(__xludf.dummyfunction("""COMPUTED_VALUE"""),10)</f>
        <v>10</v>
      </c>
      <c r="F863" s="0" t="str">
        <f aca="false">IFERROR(__xludf.dummyfunction("filter(Formulas!$C:$C,Formulas!$A:$A=B863)"),"""formula"":[{""sku"":""1301"",""req"":1},{""sku"":""1216"",""req"":1},{""sku"":""1209"",""req"":1}]")</f>
        <v>"formula":[{"sku":"1301","req":1},{"sku":"1216","req":1},{"sku":"1209","req":1}]</v>
      </c>
      <c r="G863" s="0" t="n">
        <f aca="false">IFERROR(__xludf.dummyfunction("""COMPUTED_VALUE"""),1)</f>
        <v>1</v>
      </c>
      <c r="H863" s="21" t="str">
        <f aca="false">IFERROR(__xludf.dummyfunction("IF(D863,filter(Productos!AC:AC,Productos!A:A=B863),)"),"cocina")</f>
        <v>cocina</v>
      </c>
      <c r="I863" s="24" t="n">
        <f aca="false">IFERROR(__xludf.dummyfunction("""COMPUTED_VALUE"""),2700)</f>
        <v>2700</v>
      </c>
      <c r="K863" s="0" t="str">
        <f aca="false">IF(D863,"{""sku"":"""&amp;B863&amp;""", ""costo"":"&amp;C863&amp;", ""grupo"":"""&amp;A863&amp;""", ""lote"":"&amp;D863&amp;", ""tiempo"":"&amp;E863&amp;", "&amp;F863&amp;", ""vencimiento"":"&amp;G863&amp;IF(I863,", ""precio"":"&amp;I863,)&amp;", ""tipo"":"""&amp;H863&amp;"""},",)</f>
        <v>{"sku":"20004", "costo":10, "grupo":"12", "lote":1, "tiempo":10, "formula":[{"sku":"1301","req":1},{"sku":"1216","req":1},{"sku":"1209","req":1}], "vencimiento":1, "precio":2700, "tipo":"cocina"},</v>
      </c>
    </row>
    <row r="864" customFormat="false" ht="13" hidden="false" customHeight="false" outlineLevel="0" collapsed="false">
      <c r="A864" s="16" t="n">
        <v>12</v>
      </c>
      <c r="B864" s="0" t="n">
        <f aca="false">IFERROR(__xludf.dummyfunction("""COMPUTED_VALUE"""),20005)</f>
        <v>20005</v>
      </c>
      <c r="C864" s="24" t="n">
        <f aca="false">IFERROR(__xludf.dummyfunction("""COMPUTED_VALUE"""),10)</f>
        <v>10</v>
      </c>
      <c r="D864" s="0" t="n">
        <f aca="false">IFERROR(__xludf.dummyfunction("""COMPUTED_VALUE"""),1)</f>
        <v>1</v>
      </c>
      <c r="E864" s="0" t="n">
        <f aca="false">IFERROR(__xludf.dummyfunction("""COMPUTED_VALUE"""),20)</f>
        <v>20</v>
      </c>
      <c r="F864" s="0" t="str">
        <f aca="false">IFERROR(__xludf.dummyfunction("filter(Formulas!$C:$C,Formulas!$A:$A=B864)"),"""formula"":[{""sku"":""1301"",""req"":1},{""sku"":""1216"",""req"":1},{""sku"":""1209"",""req"":1},{""sku"":""1310"",""req"":1},{""sku"":""1112"",""req"":1}]")</f>
        <v>"formula":[{"sku":"1301","req":1},{"sku":"1216","req":1},{"sku":"1209","req":1},{"sku":"1310","req":1},{"sku":"1112","req":1}]</v>
      </c>
      <c r="G864" s="0" t="n">
        <f aca="false">IFERROR(__xludf.dummyfunction("""COMPUTED_VALUE"""),1)</f>
        <v>1</v>
      </c>
      <c r="H864" s="21" t="str">
        <f aca="false">IFERROR(__xludf.dummyfunction("IF(D864,filter(Productos!AC:AC,Productos!A:A=B864),)"),"cocina")</f>
        <v>cocina</v>
      </c>
      <c r="I864" s="24" t="n">
        <f aca="false">IFERROR(__xludf.dummyfunction("""COMPUTED_VALUE"""),2700)</f>
        <v>2700</v>
      </c>
      <c r="K864" s="0" t="str">
        <f aca="false">IF(D864,"{""sku"":"""&amp;B864&amp;""", ""costo"":"&amp;C864&amp;", ""grupo"":"""&amp;A864&amp;""", ""lote"":"&amp;D864&amp;", ""tiempo"":"&amp;E864&amp;", "&amp;F864&amp;", ""vencimiento"":"&amp;G864&amp;IF(I864,", ""precio"":"&amp;I864,)&amp;", ""tipo"":"""&amp;H864&amp;"""},",)</f>
        <v>{"sku":"20005", "costo":10, "grupo":"12", "lote":1, "tiempo":20, "formula":[{"sku":"1301","req":1},{"sku":"1216","req":1},{"sku":"1209","req":1},{"sku":"1310","req":1},{"sku":"1112","req":1}], "vencimiento":1, "precio":2700, "tipo":"cocina"},</v>
      </c>
    </row>
    <row r="865" customFormat="false" ht="13" hidden="false" customHeight="false" outlineLevel="0" collapsed="false">
      <c r="A865" s="17" t="n">
        <v>12</v>
      </c>
      <c r="B865" s="0" t="n">
        <f aca="false">IFERROR(__xludf.dummyfunction("""COMPUTED_VALUE"""),30001)</f>
        <v>30001</v>
      </c>
      <c r="C865" s="24" t="n">
        <f aca="false">IFERROR(__xludf.dummyfunction("""COMPUTED_VALUE"""),10)</f>
        <v>10</v>
      </c>
      <c r="D865" s="0" t="n">
        <f aca="false">IFERROR(__xludf.dummyfunction("""COMPUTED_VALUE"""),1)</f>
        <v>1</v>
      </c>
      <c r="E865" s="0" t="n">
        <f aca="false">IFERROR(__xludf.dummyfunction("""COMPUTED_VALUE"""),10)</f>
        <v>10</v>
      </c>
      <c r="F865" s="0" t="str">
        <f aca="false">IFERROR(__xludf.dummyfunction("filter(Formulas!$C:$C,Formulas!$A:$A=B865)"),"""formula"":[{""sku"":""1307"",""req"":3}]")</f>
        <v>"formula":[{"sku":"1307","req":3}]</v>
      </c>
      <c r="G865" s="0" t="n">
        <f aca="false">IFERROR(__xludf.dummyfunction("""COMPUTED_VALUE"""),1)</f>
        <v>1</v>
      </c>
      <c r="H865" s="21" t="str">
        <f aca="false">IFERROR(__xludf.dummyfunction("IF(D865,filter(Productos!AC:AC,Productos!A:A=B865),)"),"cocina")</f>
        <v>cocina</v>
      </c>
      <c r="I865" s="24" t="n">
        <f aca="false">IFERROR(__xludf.dummyfunction("""COMPUTED_VALUE"""),7900)</f>
        <v>7900</v>
      </c>
      <c r="K865" s="0" t="str">
        <f aca="false">IF(D865,"{""sku"":"""&amp;B865&amp;""", ""costo"":"&amp;C865&amp;", ""grupo"":"""&amp;A865&amp;""", ""lote"":"&amp;D865&amp;", ""tiempo"":"&amp;E865&amp;", "&amp;F865&amp;", ""vencimiento"":"&amp;G865&amp;IF(I865,", ""precio"":"&amp;I865,)&amp;", ""tipo"":"""&amp;H865&amp;"""},",)</f>
        <v>{"sku":"30001", "costo":10, "grupo":"12", "lote":1, "tiempo":10, "formula":[{"sku":"1307","req":3}], "vencimiento":1, "precio":7900, "tipo":"cocina"},</v>
      </c>
    </row>
    <row r="866" customFormat="false" ht="13" hidden="false" customHeight="false" outlineLevel="0" collapsed="false">
      <c r="A866" s="16" t="n">
        <v>12</v>
      </c>
      <c r="B866" s="0" t="n">
        <f aca="false">IFERROR(__xludf.dummyfunction("""COMPUTED_VALUE"""),30002)</f>
        <v>30002</v>
      </c>
      <c r="C866" s="24" t="n">
        <f aca="false">IFERROR(__xludf.dummyfunction("""COMPUTED_VALUE"""),10)</f>
        <v>10</v>
      </c>
      <c r="D866" s="0" t="n">
        <f aca="false">IFERROR(__xludf.dummyfunction("""COMPUTED_VALUE"""),1)</f>
        <v>1</v>
      </c>
      <c r="E866" s="0" t="n">
        <f aca="false">IFERROR(__xludf.dummyfunction("""COMPUTED_VALUE"""),10)</f>
        <v>10</v>
      </c>
      <c r="F866" s="0" t="str">
        <f aca="false">IFERROR(__xludf.dummyfunction("filter(Formulas!$C:$C,Formulas!$A:$A=B866)"),"""formula"":[{""sku"":""1307"",""req"":4}]")</f>
        <v>"formula":[{"sku":"1307","req":4}]</v>
      </c>
      <c r="G866" s="0" t="n">
        <f aca="false">IFERROR(__xludf.dummyfunction("""COMPUTED_VALUE"""),1)</f>
        <v>1</v>
      </c>
      <c r="H866" s="21" t="str">
        <f aca="false">IFERROR(__xludf.dummyfunction("IF(D866,filter(Productos!AC:AC,Productos!A:A=B866),)"),"cocina")</f>
        <v>cocina</v>
      </c>
      <c r="I866" s="24" t="n">
        <f aca="false">IFERROR(__xludf.dummyfunction("""COMPUTED_VALUE"""),9900)</f>
        <v>9900</v>
      </c>
      <c r="K866" s="0" t="str">
        <f aca="false">IF(D866,"{""sku"":"""&amp;B866&amp;""", ""costo"":"&amp;C866&amp;", ""grupo"":"""&amp;A866&amp;""", ""lote"":"&amp;D866&amp;", ""tiempo"":"&amp;E866&amp;", "&amp;F866&amp;", ""vencimiento"":"&amp;G866&amp;IF(I866,", ""precio"":"&amp;I866,)&amp;", ""tipo"":"""&amp;H866&amp;"""},",)</f>
        <v>{"sku":"30002", "costo":10, "grupo":"12", "lote":1, "tiempo":10, "formula":[{"sku":"1307","req":4}], "vencimiento":1, "precio":9900, "tipo":"cocina"},</v>
      </c>
    </row>
    <row r="867" customFormat="false" ht="13" hidden="false" customHeight="false" outlineLevel="0" collapsed="false">
      <c r="A867" s="17" t="n">
        <v>12</v>
      </c>
      <c r="B867" s="0" t="n">
        <f aca="false">IFERROR(__xludf.dummyfunction("""COMPUTED_VALUE"""),30003)</f>
        <v>30003</v>
      </c>
      <c r="C867" s="24" t="n">
        <f aca="false">IFERROR(__xludf.dummyfunction("""COMPUTED_VALUE"""),10)</f>
        <v>10</v>
      </c>
      <c r="D867" s="0" t="n">
        <f aca="false">IFERROR(__xludf.dummyfunction("""COMPUTED_VALUE"""),1)</f>
        <v>1</v>
      </c>
      <c r="E867" s="0" t="n">
        <f aca="false">IFERROR(__xludf.dummyfunction("""COMPUTED_VALUE"""),10)</f>
        <v>10</v>
      </c>
      <c r="F867" s="0" t="str">
        <f aca="false">IFERROR(__xludf.dummyfunction("filter(Formulas!$C:$C,Formulas!$A:$A=B867)"),"""formula"":[{""sku"":""1307"",""req"":5}]")</f>
        <v>"formula":[{"sku":"1307","req":5}]</v>
      </c>
      <c r="G867" s="0" t="n">
        <f aca="false">IFERROR(__xludf.dummyfunction("""COMPUTED_VALUE"""),1)</f>
        <v>1</v>
      </c>
      <c r="H867" s="21" t="str">
        <f aca="false">IFERROR(__xludf.dummyfunction("IF(D867,filter(Productos!AC:AC,Productos!A:A=B867),)"),"cocina")</f>
        <v>cocina</v>
      </c>
      <c r="I867" s="24" t="n">
        <f aca="false">IFERROR(__xludf.dummyfunction("""COMPUTED_VALUE"""),12500)</f>
        <v>12500</v>
      </c>
      <c r="K867" s="0" t="str">
        <f aca="false">IF(D867,"{""sku"":"""&amp;B867&amp;""", ""costo"":"&amp;C867&amp;", ""grupo"":"""&amp;A867&amp;""", ""lote"":"&amp;D867&amp;", ""tiempo"":"&amp;E867&amp;", "&amp;F867&amp;", ""vencimiento"":"&amp;G867&amp;IF(I867,", ""precio"":"&amp;I867,)&amp;", ""tipo"":"""&amp;H867&amp;"""},",)</f>
        <v>{"sku":"30003", "costo":10, "grupo":"12", "lote":1, "tiempo":10, "formula":[{"sku":"1307","req":5}], "vencimiento":1, "precio":12500, "tipo":"cocina"},</v>
      </c>
    </row>
    <row r="868" customFormat="false" ht="13" hidden="false" customHeight="false" outlineLevel="0" collapsed="false">
      <c r="A868" s="16" t="n">
        <v>12</v>
      </c>
      <c r="B868" s="0" t="n">
        <f aca="false">IFERROR(__xludf.dummyfunction("""COMPUTED_VALUE"""),30004)</f>
        <v>30004</v>
      </c>
      <c r="C868" s="24" t="n">
        <f aca="false">IFERROR(__xludf.dummyfunction("""COMPUTED_VALUE"""),10)</f>
        <v>10</v>
      </c>
      <c r="D868" s="0" t="n">
        <f aca="false">IFERROR(__xludf.dummyfunction("""COMPUTED_VALUE"""),1)</f>
        <v>1</v>
      </c>
      <c r="E868" s="0" t="n">
        <f aca="false">IFERROR(__xludf.dummyfunction("""COMPUTED_VALUE"""),10)</f>
        <v>10</v>
      </c>
      <c r="F868" s="0" t="str">
        <f aca="false">IFERROR(__xludf.dummyfunction("filter(Formulas!$C:$C,Formulas!$A:$A=B868)"),"""formula"":[{""sku"":""1309"",""req"":3}]")</f>
        <v>"formula":[{"sku":"1309","req":3}]</v>
      </c>
      <c r="G868" s="0" t="n">
        <f aca="false">IFERROR(__xludf.dummyfunction("""COMPUTED_VALUE"""),1)</f>
        <v>1</v>
      </c>
      <c r="H868" s="21" t="str">
        <f aca="false">IFERROR(__xludf.dummyfunction("IF(D868,filter(Productos!AC:AC,Productos!A:A=B868),)"),"cocina")</f>
        <v>cocina</v>
      </c>
      <c r="I868" s="24" t="n">
        <f aca="false">IFERROR(__xludf.dummyfunction("""COMPUTED_VALUE"""),7900)</f>
        <v>7900</v>
      </c>
      <c r="K868" s="0" t="str">
        <f aca="false">IF(D868,"{""sku"":"""&amp;B868&amp;""", ""costo"":"&amp;C868&amp;", ""grupo"":"""&amp;A868&amp;""", ""lote"":"&amp;D868&amp;", ""tiempo"":"&amp;E868&amp;", "&amp;F868&amp;", ""vencimiento"":"&amp;G868&amp;IF(I868,", ""precio"":"&amp;I868,)&amp;", ""tipo"":"""&amp;H868&amp;"""},",)</f>
        <v>{"sku":"30004", "costo":10, "grupo":"12", "lote":1, "tiempo":10, "formula":[{"sku":"1309","req":3}], "vencimiento":1, "precio":7900, "tipo":"cocina"},</v>
      </c>
    </row>
    <row r="869" customFormat="false" ht="13" hidden="false" customHeight="false" outlineLevel="0" collapsed="false">
      <c r="A869" s="17" t="n">
        <v>12</v>
      </c>
      <c r="B869" s="0" t="n">
        <f aca="false">IFERROR(__xludf.dummyfunction("""COMPUTED_VALUE"""),30005)</f>
        <v>30005</v>
      </c>
      <c r="C869" s="24" t="n">
        <f aca="false">IFERROR(__xludf.dummyfunction("""COMPUTED_VALUE"""),10)</f>
        <v>10</v>
      </c>
      <c r="D869" s="0" t="n">
        <f aca="false">IFERROR(__xludf.dummyfunction("""COMPUTED_VALUE"""),1)</f>
        <v>1</v>
      </c>
      <c r="E869" s="0" t="n">
        <f aca="false">IFERROR(__xludf.dummyfunction("""COMPUTED_VALUE"""),10)</f>
        <v>10</v>
      </c>
      <c r="F869" s="0" t="str">
        <f aca="false">IFERROR(__xludf.dummyfunction("filter(Formulas!$C:$C,Formulas!$A:$A=B869)"),"""formula"":[{""sku"":""1309"",""req"":4}]")</f>
        <v>"formula":[{"sku":"1309","req":4}]</v>
      </c>
      <c r="G869" s="0" t="n">
        <f aca="false">IFERROR(__xludf.dummyfunction("""COMPUTED_VALUE"""),1)</f>
        <v>1</v>
      </c>
      <c r="H869" s="21" t="str">
        <f aca="false">IFERROR(__xludf.dummyfunction("IF(D869,filter(Productos!AC:AC,Productos!A:A=B869),)"),"cocina")</f>
        <v>cocina</v>
      </c>
      <c r="I869" s="24" t="n">
        <f aca="false">IFERROR(__xludf.dummyfunction("""COMPUTED_VALUE"""),9900)</f>
        <v>9900</v>
      </c>
      <c r="K869" s="0" t="str">
        <f aca="false">IF(D869,"{""sku"":"""&amp;B869&amp;""", ""costo"":"&amp;C869&amp;", ""grupo"":"""&amp;A869&amp;""", ""lote"":"&amp;D869&amp;", ""tiempo"":"&amp;E869&amp;", "&amp;F869&amp;", ""vencimiento"":"&amp;G869&amp;IF(I869,", ""precio"":"&amp;I869,)&amp;", ""tipo"":"""&amp;H869&amp;"""},",)</f>
        <v>{"sku":"30005", "costo":10, "grupo":"12", "lote":1, "tiempo":10, "formula":[{"sku":"1309","req":4}], "vencimiento":1, "precio":9900, "tipo":"cocina"},</v>
      </c>
    </row>
    <row r="870" customFormat="false" ht="13" hidden="false" customHeight="false" outlineLevel="0" collapsed="false">
      <c r="A870" s="17" t="n">
        <v>12</v>
      </c>
      <c r="B870" s="0" t="n">
        <f aca="false">IFERROR(__xludf.dummyfunction("""COMPUTED_VALUE"""),30006)</f>
        <v>30006</v>
      </c>
      <c r="C870" s="24" t="n">
        <f aca="false">IFERROR(__xludf.dummyfunction("""COMPUTED_VALUE"""),10)</f>
        <v>10</v>
      </c>
      <c r="D870" s="0" t="n">
        <f aca="false">IFERROR(__xludf.dummyfunction("""COMPUTED_VALUE"""),1)</f>
        <v>1</v>
      </c>
      <c r="E870" s="0" t="n">
        <f aca="false">IFERROR(__xludf.dummyfunction("""COMPUTED_VALUE"""),10)</f>
        <v>10</v>
      </c>
      <c r="F870" s="0" t="str">
        <f aca="false">IFERROR(__xludf.dummyfunction("filter(Formulas!$C:$C,Formulas!$A:$A=B870)"),"""formula"":[{""sku"":""1309"",""req"":5}]")</f>
        <v>"formula":[{"sku":"1309","req":5}]</v>
      </c>
      <c r="G870" s="0" t="n">
        <f aca="false">IFERROR(__xludf.dummyfunction("""COMPUTED_VALUE"""),1)</f>
        <v>1</v>
      </c>
      <c r="H870" s="21" t="str">
        <f aca="false">IFERROR(__xludf.dummyfunction("IF(D870,filter(Productos!AC:AC,Productos!A:A=B870),)"),"cocina")</f>
        <v>cocina</v>
      </c>
      <c r="I870" s="24" t="n">
        <f aca="false">IFERROR(__xludf.dummyfunction("""COMPUTED_VALUE"""),12500)</f>
        <v>12500</v>
      </c>
      <c r="K870" s="0" t="str">
        <f aca="false">IF(D870,"{""sku"":"""&amp;B870&amp;""", ""costo"":"&amp;C870&amp;", ""grupo"":"""&amp;A870&amp;""", ""lote"":"&amp;D870&amp;", ""tiempo"":"&amp;E870&amp;", "&amp;F870&amp;", ""vencimiento"":"&amp;G870&amp;IF(I870,", ""precio"":"&amp;I870,)&amp;", ""tipo"":"""&amp;H870&amp;"""},",)</f>
        <v>{"sku":"30006", "costo":10, "grupo":"12", "lote":1, "tiempo":10, "formula":[{"sku":"1309","req":5}], "vencimiento":1, "precio":12500, "tipo":"cocina"},</v>
      </c>
    </row>
    <row r="871" customFormat="false" ht="13" hidden="false" customHeight="false" outlineLevel="0" collapsed="false">
      <c r="A871" s="17" t="n">
        <v>12</v>
      </c>
      <c r="B871" s="0" t="n">
        <f aca="false">IFERROR(__xludf.dummyfunction("""COMPUTED_VALUE"""),30007)</f>
        <v>30007</v>
      </c>
      <c r="C871" s="24" t="n">
        <f aca="false">IFERROR(__xludf.dummyfunction("""COMPUTED_VALUE"""),10)</f>
        <v>10</v>
      </c>
      <c r="D871" s="0" t="n">
        <f aca="false">IFERROR(__xludf.dummyfunction("""COMPUTED_VALUE"""),1)</f>
        <v>1</v>
      </c>
      <c r="E871" s="0" t="n">
        <f aca="false">IFERROR(__xludf.dummyfunction("""COMPUTED_VALUE"""),10)</f>
        <v>10</v>
      </c>
      <c r="F871" s="0" t="str">
        <f aca="false">IFERROR(__xludf.dummyfunction("filter(Formulas!$C:$C,Formulas!$A:$A=B871)"),"""formula"":[{""sku"":""1309"",""req"":2},{""sku"":""1307"",""req"":2}]")</f>
        <v>"formula":[{"sku":"1309","req":2},{"sku":"1307","req":2}]</v>
      </c>
      <c r="G871" s="0" t="n">
        <f aca="false">IFERROR(__xludf.dummyfunction("""COMPUTED_VALUE"""),1)</f>
        <v>1</v>
      </c>
      <c r="H871" s="21" t="str">
        <f aca="false">IFERROR(__xludf.dummyfunction("IF(D871,filter(Productos!AC:AC,Productos!A:A=B871),)"),"cocina")</f>
        <v>cocina</v>
      </c>
      <c r="I871" s="24" t="n">
        <f aca="false">IFERROR(__xludf.dummyfunction("""COMPUTED_VALUE"""),9900)</f>
        <v>9900</v>
      </c>
      <c r="K871" s="0" t="str">
        <f aca="false">IF(D871,"{""sku"":"""&amp;B871&amp;""", ""costo"":"&amp;C871&amp;", ""grupo"":"""&amp;A871&amp;""", ""lote"":"&amp;D871&amp;", ""tiempo"":"&amp;E871&amp;", "&amp;F871&amp;", ""vencimiento"":"&amp;G871&amp;IF(I871,", ""precio"":"&amp;I871,)&amp;", ""tipo"":"""&amp;H871&amp;"""},",)</f>
        <v>{"sku":"30007", "costo":10, "grupo":"12", "lote":1, "tiempo":10, "formula":[{"sku":"1309","req":2},{"sku":"1307","req":2}], "vencimiento":1, "precio":9900, "tipo":"cocina"},</v>
      </c>
    </row>
    <row r="872" customFormat="false" ht="13" hidden="false" customHeight="false" outlineLevel="0" collapsed="false">
      <c r="A872" s="17" t="n">
        <v>12</v>
      </c>
      <c r="B872" s="0" t="n">
        <f aca="false">IFERROR(__xludf.dummyfunction("""COMPUTED_VALUE"""),30008)</f>
        <v>30008</v>
      </c>
      <c r="C872" s="24" t="n">
        <f aca="false">IFERROR(__xludf.dummyfunction("""COMPUTED_VALUE"""),10)</f>
        <v>10</v>
      </c>
      <c r="D872" s="0" t="n">
        <f aca="false">IFERROR(__xludf.dummyfunction("""COMPUTED_VALUE"""),1)</f>
        <v>1</v>
      </c>
      <c r="E872" s="0" t="n">
        <f aca="false">IFERROR(__xludf.dummyfunction("""COMPUTED_VALUE"""),10)</f>
        <v>10</v>
      </c>
      <c r="F872" s="0" t="str">
        <f aca="false">IFERROR(__xludf.dummyfunction("filter(Formulas!$C:$C,Formulas!$A:$A=B872)"),"""formula"":[{""sku"":""1309"",""req"":3},{""sku"":""1307"",""req"":3}]")</f>
        <v>"formula":[{"sku":"1309","req":3},{"sku":"1307","req":3}]</v>
      </c>
      <c r="G872" s="0" t="n">
        <f aca="false">IFERROR(__xludf.dummyfunction("""COMPUTED_VALUE"""),1)</f>
        <v>1</v>
      </c>
      <c r="H872" s="21" t="str">
        <f aca="false">IFERROR(__xludf.dummyfunction("IF(D872,filter(Productos!AC:AC,Productos!A:A=B872),)"),"cocina")</f>
        <v>cocina</v>
      </c>
      <c r="I872" s="24" t="n">
        <f aca="false">IFERROR(__xludf.dummyfunction("""COMPUTED_VALUE"""),15990)</f>
        <v>15990</v>
      </c>
      <c r="K872" s="0" t="str">
        <f aca="false">IF(D872,"{""sku"":"""&amp;B872&amp;""", ""costo"":"&amp;C872&amp;", ""grupo"":"""&amp;A872&amp;""", ""lote"":"&amp;D872&amp;", ""tiempo"":"&amp;E872&amp;", "&amp;F872&amp;", ""vencimiento"":"&amp;G872&amp;IF(I872,", ""precio"":"&amp;I872,)&amp;", ""tipo"":"""&amp;H872&amp;"""},",)</f>
        <v>{"sku":"30008", "costo":10, "grupo":"12", "lote":1, "tiempo":10, "formula":[{"sku":"1309","req":3},{"sku":"1307","req":3}], "vencimiento":1, "precio":15990, "tipo":"cocina"},</v>
      </c>
    </row>
    <row r="873" customFormat="false" ht="13" hidden="false" customHeight="false" outlineLevel="0" collapsed="false">
      <c r="H873" s="21" t="str">
        <f aca="false">IFERROR(__xludf.dummyfunction("IF(D873,filter(Productos!AC:AC,Productos!A:A=B873),)"),"")</f>
        <v/>
      </c>
      <c r="K873" s="0" t="n">
        <f aca="false">IF(D873,"{""sku"":"""&amp;B873&amp;""", ""costo"":"&amp;C873&amp;", ""grupo"":"""&amp;A873&amp;""", ""lote"":"&amp;D873&amp;", ""tiempo"":"&amp;E873&amp;", "&amp;F873&amp;", ""vencimiento"":"&amp;G873&amp;IF(I873,", ""precio"":"&amp;I873,)&amp;", ""tipo"":"""&amp;H873&amp;"""},",)</f>
        <v>0</v>
      </c>
    </row>
    <row r="874" customFormat="false" ht="13" hidden="false" customHeight="false" outlineLevel="0" collapsed="false">
      <c r="A874" s="22" t="s">
        <v>262</v>
      </c>
      <c r="B874" s="16" t="s">
        <v>263</v>
      </c>
      <c r="C874" s="16"/>
      <c r="D874" s="16"/>
      <c r="E874" s="16"/>
      <c r="F874" s="16"/>
      <c r="G874" s="25"/>
      <c r="H874" s="21" t="str">
        <f aca="false">IFERROR(__xludf.dummyfunction("IF(D874,filter(Productos!AC:AC,Productos!A:A=B874),)"),"")</f>
        <v/>
      </c>
      <c r="K874" s="0" t="n">
        <f aca="false">IF(D874,"{""sku"":"""&amp;B874&amp;""", ""costo"":"&amp;C874&amp;", ""grupo"":"""&amp;A874&amp;""", ""lote"":"&amp;D874&amp;", ""tiempo"":"&amp;E874&amp;", "&amp;F874&amp;", ""vencimiento"":"&amp;G874&amp;IF(I874,", ""precio"":"&amp;I874,)&amp;", ""tipo"":"""&amp;H874&amp;"""},",)</f>
        <v>0</v>
      </c>
    </row>
    <row r="875" customFormat="false" ht="13" hidden="false" customHeight="false" outlineLevel="0" collapsed="false">
      <c r="A875" s="17" t="n">
        <v>13</v>
      </c>
      <c r="B875" s="17" t="n">
        <f aca="false">IFERROR(__xludf.dummyfunction("filter(Productos!$A$2:$A1017,INDIRECT(B874))"),1001)</f>
        <v>1001</v>
      </c>
      <c r="C875" s="24" t="n">
        <f aca="false">IFERROR(__xludf.dummyfunction("filter(Productos!$D$2:$D1017,INDIRECT(B874))"),3000)</f>
        <v>3000</v>
      </c>
      <c r="D875" s="17" t="n">
        <f aca="false">IFERROR(__xludf.dummyfunction("filter(Productos!$K$2:$L1017,INDIRECT(B874))"),10)</f>
        <v>10</v>
      </c>
      <c r="E875" s="17" t="n">
        <f aca="false">IFERROR(__xludf.dummyfunction("""COMPUTED_VALUE"""),240)</f>
        <v>240</v>
      </c>
      <c r="F875" s="16" t="str">
        <f aca="false">IFERROR(__xludf.dummyfunction("filter(Formulas!$C:$C,Formulas!$A:$A=B875)"),"""formula"":null")</f>
        <v>"formula":null</v>
      </c>
      <c r="G875" s="26" t="n">
        <f aca="false">IFERROR(__xludf.dummyfunction("filter(Productos!$H$2:$H1017,INDIRECT(B874))"),720)</f>
        <v>720</v>
      </c>
      <c r="H875" s="21" t="str">
        <f aca="false">IFERROR(__xludf.dummyfunction("IF(D875,filter(Productos!AC:AC,Productos!A:A=B875),)"),"fabrica")</f>
        <v>fabrica</v>
      </c>
      <c r="I875" s="24" t="str">
        <f aca="false">IFERROR(__xludf.dummyfunction("filter(Productos!$E$2:$E1017,INDIRECT(B874))"),"")</f>
        <v/>
      </c>
      <c r="K875" s="0" t="e">
        <f aca="false">IF(D875,"{""sku"":"""&amp;B875&amp;""", ""costo"":"&amp;C875&amp;", ""grupo"":"""&amp;A875&amp;""", ""lote"":"&amp;D875&amp;", ""tiempo"":"&amp;E875&amp;", "&amp;F875&amp;", ""vencimiento"":"&amp;G875&amp;IF(I875,", ""precio"":"&amp;I875,)&amp;", ""tipo"":"""&amp;H875&amp;"""},",)</f>
        <v>#VALUE!</v>
      </c>
    </row>
    <row r="876" customFormat="false" ht="13" hidden="false" customHeight="false" outlineLevel="0" collapsed="false">
      <c r="A876" s="16" t="n">
        <v>13</v>
      </c>
      <c r="B876" s="0" t="n">
        <f aca="false">IFERROR(__xludf.dummyfunction("""COMPUTED_VALUE"""),1003)</f>
        <v>1003</v>
      </c>
      <c r="C876" s="24" t="n">
        <f aca="false">IFERROR(__xludf.dummyfunction("""COMPUTED_VALUE"""),1290)</f>
        <v>1290</v>
      </c>
      <c r="D876" s="0" t="n">
        <f aca="false">IFERROR(__xludf.dummyfunction("""COMPUTED_VALUE"""),100)</f>
        <v>100</v>
      </c>
      <c r="E876" s="0" t="n">
        <f aca="false">IFERROR(__xludf.dummyfunction("""COMPUTED_VALUE"""),320)</f>
        <v>320</v>
      </c>
      <c r="F876" s="0" t="str">
        <f aca="false">IFERROR(__xludf.dummyfunction("filter(Formulas!$C:$C,Formulas!$A:$A=B876)"),"""formula"":null")</f>
        <v>"formula":null</v>
      </c>
      <c r="G876" s="0" t="n">
        <f aca="false">IFERROR(__xludf.dummyfunction("""COMPUTED_VALUE"""),720)</f>
        <v>720</v>
      </c>
      <c r="H876" s="21" t="str">
        <f aca="false">IFERROR(__xludf.dummyfunction("IF(D876,filter(Productos!AC:AC,Productos!A:A=B876),)"),"fabrica")</f>
        <v>fabrica</v>
      </c>
      <c r="I876" s="24" t="str">
        <f aca="false">IFERROR(__xludf.dummyfunction("""COMPUTED_VALUE"""),"")</f>
        <v/>
      </c>
      <c r="K876" s="0" t="e">
        <f aca="false">IF(D876,"{""sku"":"""&amp;B876&amp;""", ""costo"":"&amp;C876&amp;", ""grupo"":"""&amp;A876&amp;""", ""lote"":"&amp;D876&amp;", ""tiempo"":"&amp;E876&amp;", "&amp;F876&amp;", ""vencimiento"":"&amp;G876&amp;IF(I876,", ""precio"":"&amp;I876,)&amp;", ""tipo"":"""&amp;H876&amp;"""},",)</f>
        <v>#VALUE!</v>
      </c>
    </row>
    <row r="877" customFormat="false" ht="13" hidden="false" customHeight="false" outlineLevel="0" collapsed="false">
      <c r="A877" s="17" t="n">
        <v>13</v>
      </c>
      <c r="B877" s="0" t="n">
        <f aca="false">IFERROR(__xludf.dummyfunction("""COMPUTED_VALUE"""),1004)</f>
        <v>1004</v>
      </c>
      <c r="C877" s="24" t="n">
        <f aca="false">IFERROR(__xludf.dummyfunction("""COMPUTED_VALUE"""),2190)</f>
        <v>2190</v>
      </c>
      <c r="D877" s="0" t="n">
        <f aca="false">IFERROR(__xludf.dummyfunction("""COMPUTED_VALUE"""),100)</f>
        <v>100</v>
      </c>
      <c r="E877" s="0" t="n">
        <f aca="false">IFERROR(__xludf.dummyfunction("""COMPUTED_VALUE"""),400)</f>
        <v>400</v>
      </c>
      <c r="F877" s="0" t="str">
        <f aca="false">IFERROR(__xludf.dummyfunction("filter(Formulas!$C:$C,Formulas!$A:$A=B877)"),"""formula"":null")</f>
        <v>"formula":null</v>
      </c>
      <c r="G877" s="0" t="n">
        <f aca="false">IFERROR(__xludf.dummyfunction("""COMPUTED_VALUE"""),720)</f>
        <v>720</v>
      </c>
      <c r="H877" s="21" t="str">
        <f aca="false">IFERROR(__xludf.dummyfunction("IF(D877,filter(Productos!AC:AC,Productos!A:A=B877),)"),"fabrica")</f>
        <v>fabrica</v>
      </c>
      <c r="I877" s="24" t="str">
        <f aca="false">IFERROR(__xludf.dummyfunction("""COMPUTED_VALUE"""),"")</f>
        <v/>
      </c>
      <c r="K877" s="0" t="e">
        <f aca="false">IF(D877,"{""sku"":"""&amp;B877&amp;""", ""costo"":"&amp;C877&amp;", ""grupo"":"""&amp;A877&amp;""", ""lote"":"&amp;D877&amp;", ""tiempo"":"&amp;E877&amp;", "&amp;F877&amp;", ""vencimiento"":"&amp;G877&amp;IF(I877,", ""precio"":"&amp;I877,)&amp;", ""tipo"":"""&amp;H877&amp;"""},",)</f>
        <v>#VALUE!</v>
      </c>
    </row>
    <row r="878" customFormat="false" ht="13" hidden="false" customHeight="false" outlineLevel="0" collapsed="false">
      <c r="A878" s="16" t="n">
        <v>13</v>
      </c>
      <c r="B878" s="0" t="n">
        <f aca="false">IFERROR(__xludf.dummyfunction("""COMPUTED_VALUE"""),1007)</f>
        <v>1007</v>
      </c>
      <c r="C878" s="24" t="n">
        <f aca="false">IFERROR(__xludf.dummyfunction("""COMPUTED_VALUE"""),32990)</f>
        <v>32990</v>
      </c>
      <c r="D878" s="0" t="n">
        <f aca="false">IFERROR(__xludf.dummyfunction("""COMPUTED_VALUE"""),8)</f>
        <v>8</v>
      </c>
      <c r="E878" s="0" t="n">
        <f aca="false">IFERROR(__xludf.dummyfunction("""COMPUTED_VALUE"""),300)</f>
        <v>300</v>
      </c>
      <c r="F878" s="0" t="str">
        <f aca="false">IFERROR(__xludf.dummyfunction("filter(Formulas!$C:$C,Formulas!$A:$A=B878)"),"""formula"":null")</f>
        <v>"formula":null</v>
      </c>
      <c r="G878" s="0" t="n">
        <f aca="false">IFERROR(__xludf.dummyfunction("""COMPUTED_VALUE"""),20)</f>
        <v>20</v>
      </c>
      <c r="H878" s="21" t="str">
        <f aca="false">IFERROR(__xludf.dummyfunction("IF(D878,filter(Productos!AC:AC,Productos!A:A=B878),)"),"fabrica")</f>
        <v>fabrica</v>
      </c>
      <c r="I878" s="24" t="str">
        <f aca="false">IFERROR(__xludf.dummyfunction("""COMPUTED_VALUE"""),"")</f>
        <v/>
      </c>
      <c r="K878" s="0" t="e">
        <f aca="false">IF(D878,"{""sku"":"""&amp;B878&amp;""", ""costo"":"&amp;C878&amp;", ""grupo"":"""&amp;A878&amp;""", ""lote"":"&amp;D878&amp;", ""tiempo"":"&amp;E878&amp;", "&amp;F878&amp;", ""vencimiento"":"&amp;G878&amp;IF(I878,", ""precio"":"&amp;I878,)&amp;", ""tipo"":"""&amp;H878&amp;"""},",)</f>
        <v>#VALUE!</v>
      </c>
    </row>
    <row r="879" customFormat="false" ht="13" hidden="false" customHeight="false" outlineLevel="0" collapsed="false">
      <c r="A879" s="17" t="n">
        <v>13</v>
      </c>
      <c r="B879" s="0" t="n">
        <f aca="false">IFERROR(__xludf.dummyfunction("""COMPUTED_VALUE"""),1010)</f>
        <v>1010</v>
      </c>
      <c r="C879" s="24" t="n">
        <f aca="false">IFERROR(__xludf.dummyfunction("""COMPUTED_VALUE"""),2990)</f>
        <v>2990</v>
      </c>
      <c r="D879" s="0" t="n">
        <f aca="false">IFERROR(__xludf.dummyfunction("""COMPUTED_VALUE"""),5)</f>
        <v>5</v>
      </c>
      <c r="E879" s="0" t="n">
        <f aca="false">IFERROR(__xludf.dummyfunction("""COMPUTED_VALUE"""),480)</f>
        <v>480</v>
      </c>
      <c r="F879" s="0" t="str">
        <f aca="false">IFERROR(__xludf.dummyfunction("filter(Formulas!$C:$C,Formulas!$A:$A=B879)"),"""formula"":null")</f>
        <v>"formula":null</v>
      </c>
      <c r="G879" s="0" t="n">
        <f aca="false">IFERROR(__xludf.dummyfunction("""COMPUTED_VALUE"""),30)</f>
        <v>30</v>
      </c>
      <c r="H879" s="21" t="str">
        <f aca="false">IFERROR(__xludf.dummyfunction("IF(D879,filter(Productos!AC:AC,Productos!A:A=B879),)"),"fabrica")</f>
        <v>fabrica</v>
      </c>
      <c r="I879" s="24" t="str">
        <f aca="false">IFERROR(__xludf.dummyfunction("""COMPUTED_VALUE"""),"")</f>
        <v/>
      </c>
      <c r="K879" s="0" t="e">
        <f aca="false">IF(D879,"{""sku"":"""&amp;B879&amp;""", ""costo"":"&amp;C879&amp;", ""grupo"":"""&amp;A879&amp;""", ""lote"":"&amp;D879&amp;", ""tiempo"":"&amp;E879&amp;", "&amp;F879&amp;", ""vencimiento"":"&amp;G879&amp;IF(I879,", ""precio"":"&amp;I879,)&amp;", ""tipo"":"""&amp;H879&amp;"""},",)</f>
        <v>#VALUE!</v>
      </c>
    </row>
    <row r="880" customFormat="false" ht="13" hidden="false" customHeight="false" outlineLevel="0" collapsed="false">
      <c r="A880" s="16" t="n">
        <v>13</v>
      </c>
      <c r="B880" s="0" t="n">
        <f aca="false">IFERROR(__xludf.dummyfunction("""COMPUTED_VALUE"""),1012)</f>
        <v>1012</v>
      </c>
      <c r="C880" s="24" t="n">
        <f aca="false">IFERROR(__xludf.dummyfunction("""COMPUTED_VALUE"""),9990)</f>
        <v>9990</v>
      </c>
      <c r="D880" s="0" t="n">
        <f aca="false">IFERROR(__xludf.dummyfunction("""COMPUTED_VALUE"""),7)</f>
        <v>7</v>
      </c>
      <c r="E880" s="0" t="n">
        <f aca="false">IFERROR(__xludf.dummyfunction("""COMPUTED_VALUE"""),150)</f>
        <v>150</v>
      </c>
      <c r="F880" s="0" t="str">
        <f aca="false">IFERROR(__xludf.dummyfunction("filter(Formulas!$C:$C,Formulas!$A:$A=B880)"),"""formula"":null")</f>
        <v>"formula":null</v>
      </c>
      <c r="G880" s="0" t="n">
        <f aca="false">IFERROR(__xludf.dummyfunction("""COMPUTED_VALUE"""),72)</f>
        <v>72</v>
      </c>
      <c r="H880" s="21" t="str">
        <f aca="false">IFERROR(__xludf.dummyfunction("IF(D880,filter(Productos!AC:AC,Productos!A:A=B880),)"),"fabrica")</f>
        <v>fabrica</v>
      </c>
      <c r="I880" s="24" t="str">
        <f aca="false">IFERROR(__xludf.dummyfunction("""COMPUTED_VALUE"""),"")</f>
        <v/>
      </c>
      <c r="K880" s="0" t="e">
        <f aca="false">IF(D880,"{""sku"":"""&amp;B880&amp;""", ""costo"":"&amp;C880&amp;", ""grupo"":"""&amp;A880&amp;""", ""lote"":"&amp;D880&amp;", ""tiempo"":"&amp;E880&amp;", "&amp;F880&amp;", ""vencimiento"":"&amp;G880&amp;IF(I880,", ""precio"":"&amp;I880,)&amp;", ""tipo"":"""&amp;H880&amp;"""},",)</f>
        <v>#VALUE!</v>
      </c>
    </row>
    <row r="881" customFormat="false" ht="13" hidden="false" customHeight="false" outlineLevel="0" collapsed="false">
      <c r="A881" s="17" t="n">
        <v>13</v>
      </c>
      <c r="B881" s="0" t="n">
        <f aca="false">IFERROR(__xludf.dummyfunction("""COMPUTED_VALUE"""),1013)</f>
        <v>1013</v>
      </c>
      <c r="C881" s="24" t="n">
        <f aca="false">IFERROR(__xludf.dummyfunction("""COMPUTED_VALUE"""),1400)</f>
        <v>1400</v>
      </c>
      <c r="D881" s="0" t="n">
        <f aca="false">IFERROR(__xludf.dummyfunction("""COMPUTED_VALUE"""),10)</f>
        <v>10</v>
      </c>
      <c r="E881" s="0" t="n">
        <f aca="false">IFERROR(__xludf.dummyfunction("""COMPUTED_VALUE"""),320)</f>
        <v>320</v>
      </c>
      <c r="F881" s="0" t="str">
        <f aca="false">IFERROR(__xludf.dummyfunction("filter(Formulas!$C:$C,Formulas!$A:$A=B881)"),"""formula"":null")</f>
        <v>"formula":null</v>
      </c>
      <c r="G881" s="0" t="n">
        <f aca="false">IFERROR(__xludf.dummyfunction("""COMPUTED_VALUE"""),12)</f>
        <v>12</v>
      </c>
      <c r="H881" s="21" t="str">
        <f aca="false">IFERROR(__xludf.dummyfunction("IF(D881,filter(Productos!AC:AC,Productos!A:A=B881),)"),"fabrica")</f>
        <v>fabrica</v>
      </c>
      <c r="I881" s="24" t="str">
        <f aca="false">IFERROR(__xludf.dummyfunction("""COMPUTED_VALUE"""),"")</f>
        <v/>
      </c>
      <c r="K881" s="0" t="e">
        <f aca="false">IF(D881,"{""sku"":"""&amp;B881&amp;""", ""costo"":"&amp;C881&amp;", ""grupo"":"""&amp;A881&amp;""", ""lote"":"&amp;D881&amp;", ""tiempo"":"&amp;E881&amp;", "&amp;F881&amp;", ""vencimiento"":"&amp;G881&amp;IF(I881,", ""precio"":"&amp;I881,)&amp;", ""tipo"":"""&amp;H881&amp;"""},",)</f>
        <v>#VALUE!</v>
      </c>
    </row>
    <row r="882" customFormat="false" ht="13" hidden="false" customHeight="false" outlineLevel="0" collapsed="false">
      <c r="A882" s="16" t="n">
        <v>13</v>
      </c>
      <c r="B882" s="0" t="n">
        <f aca="false">IFERROR(__xludf.dummyfunction("""COMPUTED_VALUE"""),1016)</f>
        <v>1016</v>
      </c>
      <c r="C882" s="24" t="n">
        <f aca="false">IFERROR(__xludf.dummyfunction("""COMPUTED_VALUE"""),2790)</f>
        <v>2790</v>
      </c>
      <c r="D882" s="0" t="n">
        <f aca="false">IFERROR(__xludf.dummyfunction("""COMPUTED_VALUE"""),8)</f>
        <v>8</v>
      </c>
      <c r="E882" s="0" t="n">
        <f aca="false">IFERROR(__xludf.dummyfunction("""COMPUTED_VALUE"""),600)</f>
        <v>600</v>
      </c>
      <c r="F882" s="0" t="str">
        <f aca="false">IFERROR(__xludf.dummyfunction("filter(Formulas!$C:$C,Formulas!$A:$A=B882)"),"""formula"":null")</f>
        <v>"formula":null</v>
      </c>
      <c r="G882" s="0" t="n">
        <f aca="false">IFERROR(__xludf.dummyfunction("""COMPUTED_VALUE"""),240)</f>
        <v>240</v>
      </c>
      <c r="H882" s="21" t="str">
        <f aca="false">IFERROR(__xludf.dummyfunction("IF(D882,filter(Productos!AC:AC,Productos!A:A=B882),)"),"fabrica")</f>
        <v>fabrica</v>
      </c>
      <c r="I882" s="0" t="str">
        <f aca="false">IFERROR(__xludf.dummyfunction("""COMPUTED_VALUE"""),"")</f>
        <v/>
      </c>
      <c r="K882" s="0" t="e">
        <f aca="false">IF(D882,"{""sku"":"""&amp;B882&amp;""", ""costo"":"&amp;C882&amp;", ""grupo"":"""&amp;A882&amp;""", ""lote"":"&amp;D882&amp;", ""tiempo"":"&amp;E882&amp;", "&amp;F882&amp;", ""vencimiento"":"&amp;G882&amp;IF(I882,", ""precio"":"&amp;I882,)&amp;", ""tipo"":"""&amp;H882&amp;"""},",)</f>
        <v>#VALUE!</v>
      </c>
    </row>
    <row r="883" customFormat="false" ht="13" hidden="false" customHeight="false" outlineLevel="0" collapsed="false">
      <c r="A883" s="17" t="n">
        <v>13</v>
      </c>
      <c r="B883" s="0" t="n">
        <f aca="false">IFERROR(__xludf.dummyfunction("""COMPUTED_VALUE"""),1101)</f>
        <v>1101</v>
      </c>
      <c r="C883" s="24" t="n">
        <f aca="false">IFERROR(__xludf.dummyfunction("""COMPUTED_VALUE"""),500)</f>
        <v>500</v>
      </c>
      <c r="D883" s="0" t="n">
        <f aca="false">IFERROR(__xludf.dummyfunction("""COMPUTED_VALUE"""),10)</f>
        <v>10</v>
      </c>
      <c r="E883" s="0" t="n">
        <f aca="false">IFERROR(__xludf.dummyfunction("""COMPUTED_VALUE"""),40)</f>
        <v>40</v>
      </c>
      <c r="F883" s="0" t="str">
        <f aca="false">IFERROR(__xludf.dummyfunction("filter(Formulas!$C:$C,Formulas!$A:$A=B883)"),"""formula"":[{""sku"":""1001"",""req"":8},{""sku"":""1003"",""req"":3},{""sku"":""1004"",""req"":2},{""sku"":""1002"",""req"":4}]")</f>
        <v>"formula":[{"sku":"1001","req":8},{"sku":"1003","req":3},{"sku":"1004","req":2},{"sku":"1002","req":4}]</v>
      </c>
      <c r="G883" s="0" t="n">
        <f aca="false">IFERROR(__xludf.dummyfunction("""COMPUTED_VALUE"""),3)</f>
        <v>3</v>
      </c>
      <c r="H883" s="21" t="str">
        <f aca="false">IFERROR(__xludf.dummyfunction("IF(D883,filter(Productos!AC:AC,Productos!A:A=B883),)"),"fabrica")</f>
        <v>fabrica</v>
      </c>
      <c r="I883" s="24" t="str">
        <f aca="false">IFERROR(__xludf.dummyfunction("""COMPUTED_VALUE"""),"")</f>
        <v/>
      </c>
      <c r="K883" s="0" t="e">
        <f aca="false">IF(D883,"{""sku"":"""&amp;B883&amp;""", ""costo"":"&amp;C883&amp;", ""grupo"":"""&amp;A883&amp;""", ""lote"":"&amp;D883&amp;", ""tiempo"":"&amp;E883&amp;", "&amp;F883&amp;", ""vencimiento"":"&amp;G883&amp;IF(I883,", ""precio"":"&amp;I883,)&amp;", ""tipo"":"""&amp;H883&amp;"""},",)</f>
        <v>#VALUE!</v>
      </c>
    </row>
    <row r="884" customFormat="false" ht="13" hidden="false" customHeight="false" outlineLevel="0" collapsed="false">
      <c r="A884" s="16" t="n">
        <v>13</v>
      </c>
      <c r="B884" s="0" t="n">
        <f aca="false">IFERROR(__xludf.dummyfunction("""COMPUTED_VALUE"""),1105)</f>
        <v>1105</v>
      </c>
      <c r="C884" s="24" t="n">
        <f aca="false">IFERROR(__xludf.dummyfunction("""COMPUTED_VALUE"""),10)</f>
        <v>10</v>
      </c>
      <c r="D884" s="0" t="n">
        <f aca="false">IFERROR(__xludf.dummyfunction("""COMPUTED_VALUE"""),10)</f>
        <v>10</v>
      </c>
      <c r="E884" s="0" t="n">
        <f aca="false">IFERROR(__xludf.dummyfunction("""COMPUTED_VALUE"""),10)</f>
        <v>10</v>
      </c>
      <c r="F884" s="0" t="str">
        <f aca="false">IFERROR(__xludf.dummyfunction("filter(Formulas!$C:$C,Formulas!$A:$A=B884)"),"""formula"":[{""sku"":""1005"",""req"":1}]")</f>
        <v>"formula":[{"sku":"1005","req":1}]</v>
      </c>
      <c r="G884" s="0" t="n">
        <f aca="false">IFERROR(__xludf.dummyfunction("""COMPUTED_VALUE"""),3)</f>
        <v>3</v>
      </c>
      <c r="H884" s="21" t="str">
        <f aca="false">IFERROR(__xludf.dummyfunction("IF(D884,filter(Productos!AC:AC,Productos!A:A=B884),)"),"fabrica")</f>
        <v>fabrica</v>
      </c>
      <c r="I884" s="24" t="str">
        <f aca="false">IFERROR(__xludf.dummyfunction("""COMPUTED_VALUE"""),"")</f>
        <v/>
      </c>
      <c r="K884" s="0" t="e">
        <f aca="false">IF(D884,"{""sku"":"""&amp;B884&amp;""", ""costo"":"&amp;C884&amp;", ""grupo"":"""&amp;A884&amp;""", ""lote"":"&amp;D884&amp;", ""tiempo"":"&amp;E884&amp;", "&amp;F884&amp;", ""vencimiento"":"&amp;G884&amp;IF(I884,", ""precio"":"&amp;I884,)&amp;", ""tipo"":"""&amp;H884&amp;"""},",)</f>
        <v>#VALUE!</v>
      </c>
    </row>
    <row r="885" customFormat="false" ht="13" hidden="false" customHeight="false" outlineLevel="0" collapsed="false">
      <c r="A885" s="17" t="n">
        <v>13</v>
      </c>
      <c r="B885" s="0" t="n">
        <f aca="false">IFERROR(__xludf.dummyfunction("""COMPUTED_VALUE"""),1106)</f>
        <v>1106</v>
      </c>
      <c r="C885" s="24" t="n">
        <f aca="false">IFERROR(__xludf.dummyfunction("""COMPUTED_VALUE"""),700)</f>
        <v>700</v>
      </c>
      <c r="D885" s="0" t="n">
        <f aca="false">IFERROR(__xludf.dummyfunction("""COMPUTED_VALUE"""),100)</f>
        <v>100</v>
      </c>
      <c r="E885" s="0" t="n">
        <f aca="false">IFERROR(__xludf.dummyfunction("""COMPUTED_VALUE"""),30)</f>
        <v>30</v>
      </c>
      <c r="F885" s="0" t="str">
        <f aca="false">IFERROR(__xludf.dummyfunction("filter(Formulas!$C:$C,Formulas!$A:$A=B885)"),"""formula"":[{""sku"":""1006"",""req"":1}]")</f>
        <v>"formula":[{"sku":"1006","req":1}]</v>
      </c>
      <c r="G885" s="0" t="n">
        <f aca="false">IFERROR(__xludf.dummyfunction("""COMPUTED_VALUE"""),4)</f>
        <v>4</v>
      </c>
      <c r="H885" s="21" t="str">
        <f aca="false">IFERROR(__xludf.dummyfunction("IF(D885,filter(Productos!AC:AC,Productos!A:A=B885),)"),"fabrica")</f>
        <v>fabrica</v>
      </c>
      <c r="I885" s="24" t="str">
        <f aca="false">IFERROR(__xludf.dummyfunction("""COMPUTED_VALUE"""),"")</f>
        <v/>
      </c>
      <c r="K885" s="0" t="e">
        <f aca="false">IF(D885,"{""sku"":"""&amp;B885&amp;""", ""costo"":"&amp;C885&amp;", ""grupo"":"""&amp;A885&amp;""", ""lote"":"&amp;D885&amp;", ""tiempo"":"&amp;E885&amp;", "&amp;F885&amp;", ""vencimiento"":"&amp;G885&amp;IF(I885,", ""precio"":"&amp;I885,)&amp;", ""tipo"":"""&amp;H885&amp;"""},",)</f>
        <v>#VALUE!</v>
      </c>
    </row>
    <row r="886" customFormat="false" ht="13" hidden="false" customHeight="false" outlineLevel="0" collapsed="false">
      <c r="A886" s="16" t="n">
        <v>13</v>
      </c>
      <c r="B886" s="0" t="n">
        <f aca="false">IFERROR(__xludf.dummyfunction("""COMPUTED_VALUE"""),1107)</f>
        <v>1107</v>
      </c>
      <c r="C886" s="24" t="n">
        <f aca="false">IFERROR(__xludf.dummyfunction("""COMPUTED_VALUE"""),10)</f>
        <v>10</v>
      </c>
      <c r="D886" s="0" t="n">
        <f aca="false">IFERROR(__xludf.dummyfunction("""COMPUTED_VALUE"""),11)</f>
        <v>11</v>
      </c>
      <c r="E886" s="0" t="n">
        <f aca="false">IFERROR(__xludf.dummyfunction("""COMPUTED_VALUE"""),20)</f>
        <v>20</v>
      </c>
      <c r="F886" s="0" t="str">
        <f aca="false">IFERROR(__xludf.dummyfunction("filter(Formulas!$C:$C,Formulas!$A:$A=B886)"),"""formula"":[{""sku"":""1007"",""req"":1}]")</f>
        <v>"formula":[{"sku":"1007","req":1}]</v>
      </c>
      <c r="G886" s="0" t="n">
        <f aca="false">IFERROR(__xludf.dummyfunction("""COMPUTED_VALUE"""),2)</f>
        <v>2</v>
      </c>
      <c r="H886" s="21" t="str">
        <f aca="false">IFERROR(__xludf.dummyfunction("IF(D886,filter(Productos!AC:AC,Productos!A:A=B886),)"),"fabrica")</f>
        <v>fabrica</v>
      </c>
      <c r="I886" s="24" t="str">
        <f aca="false">IFERROR(__xludf.dummyfunction("""COMPUTED_VALUE"""),"")</f>
        <v/>
      </c>
      <c r="K886" s="0" t="e">
        <f aca="false">IF(D886,"{""sku"":"""&amp;B886&amp;""", ""costo"":"&amp;C886&amp;", ""grupo"":"""&amp;A886&amp;""", ""lote"":"&amp;D886&amp;", ""tiempo"":"&amp;E886&amp;", "&amp;F886&amp;", ""vencimiento"":"&amp;G886&amp;IF(I886,", ""precio"":"&amp;I886,)&amp;", ""tipo"":"""&amp;H886&amp;"""},",)</f>
        <v>#VALUE!</v>
      </c>
    </row>
    <row r="887" customFormat="false" ht="13" hidden="false" customHeight="false" outlineLevel="0" collapsed="false">
      <c r="A887" s="17" t="n">
        <v>13</v>
      </c>
      <c r="B887" s="0" t="n">
        <f aca="false">IFERROR(__xludf.dummyfunction("""COMPUTED_VALUE"""),1108)</f>
        <v>1108</v>
      </c>
      <c r="C887" s="24" t="n">
        <f aca="false">IFERROR(__xludf.dummyfunction("""COMPUTED_VALUE"""),10)</f>
        <v>10</v>
      </c>
      <c r="D887" s="0" t="n">
        <f aca="false">IFERROR(__xludf.dummyfunction("""COMPUTED_VALUE"""),6)</f>
        <v>6</v>
      </c>
      <c r="E887" s="0" t="n">
        <f aca="false">IFERROR(__xludf.dummyfunction("""COMPUTED_VALUE"""),20)</f>
        <v>20</v>
      </c>
      <c r="F887" s="0" t="str">
        <f aca="false">IFERROR(__xludf.dummyfunction("filter(Formulas!$C:$C,Formulas!$A:$A=B887)"),"""formula"":[{""sku"":""1008"",""req"":1}]")</f>
        <v>"formula":[{"sku":"1008","req":1}]</v>
      </c>
      <c r="G887" s="0" t="n">
        <f aca="false">IFERROR(__xludf.dummyfunction("""COMPUTED_VALUE"""),4)</f>
        <v>4</v>
      </c>
      <c r="H887" s="21" t="str">
        <f aca="false">IFERROR(__xludf.dummyfunction("IF(D887,filter(Productos!AC:AC,Productos!A:A=B887),)"),"fabrica")</f>
        <v>fabrica</v>
      </c>
      <c r="I887" s="24" t="str">
        <f aca="false">IFERROR(__xludf.dummyfunction("""COMPUTED_VALUE"""),"")</f>
        <v/>
      </c>
      <c r="K887" s="0" t="e">
        <f aca="false">IF(D887,"{""sku"":"""&amp;B887&amp;""", ""costo"":"&amp;C887&amp;", ""grupo"":"""&amp;A887&amp;""", ""lote"":"&amp;D887&amp;", ""tiempo"":"&amp;E887&amp;", "&amp;F887&amp;", ""vencimiento"":"&amp;G887&amp;IF(I887,", ""precio"":"&amp;I887,)&amp;", ""tipo"":"""&amp;H887&amp;"""},",)</f>
        <v>#VALUE!</v>
      </c>
    </row>
    <row r="888" customFormat="false" ht="13" hidden="false" customHeight="false" outlineLevel="0" collapsed="false">
      <c r="A888" s="16" t="n">
        <v>13</v>
      </c>
      <c r="B888" s="0" t="n">
        <f aca="false">IFERROR(__xludf.dummyfunction("""COMPUTED_VALUE"""),1109)</f>
        <v>1109</v>
      </c>
      <c r="C888" s="24" t="n">
        <f aca="false">IFERROR(__xludf.dummyfunction("""COMPUTED_VALUE"""),10)</f>
        <v>10</v>
      </c>
      <c r="D888" s="0" t="n">
        <f aca="false">IFERROR(__xludf.dummyfunction("""COMPUTED_VALUE"""),12)</f>
        <v>12</v>
      </c>
      <c r="E888" s="0" t="n">
        <f aca="false">IFERROR(__xludf.dummyfunction("""COMPUTED_VALUE"""),30)</f>
        <v>30</v>
      </c>
      <c r="F888" s="0" t="str">
        <f aca="false">IFERROR(__xludf.dummyfunction("filter(Formulas!$C:$C,Formulas!$A:$A=B888)"),"""formula"":[{""sku"":""1009"",""req"":1}]")</f>
        <v>"formula":[{"sku":"1009","req":1}]</v>
      </c>
      <c r="G888" s="0" t="n">
        <f aca="false">IFERROR(__xludf.dummyfunction("""COMPUTED_VALUE"""),1.5)</f>
        <v>1.5</v>
      </c>
      <c r="H888" s="21" t="str">
        <f aca="false">IFERROR(__xludf.dummyfunction("IF(D888,filter(Productos!AC:AC,Productos!A:A=B888),)"),"fabrica")</f>
        <v>fabrica</v>
      </c>
      <c r="I888" s="24" t="str">
        <f aca="false">IFERROR(__xludf.dummyfunction("""COMPUTED_VALUE"""),"")</f>
        <v/>
      </c>
      <c r="K888" s="0" t="e">
        <f aca="false">IF(D888,"{""sku"":"""&amp;B888&amp;""", ""costo"":"&amp;C888&amp;", ""grupo"":"""&amp;A888&amp;""", ""lote"":"&amp;D888&amp;", ""tiempo"":"&amp;E888&amp;", "&amp;F888&amp;", ""vencimiento"":"&amp;G888&amp;IF(I888,", ""precio"":"&amp;I888,)&amp;", ""tipo"":"""&amp;H888&amp;"""},",)</f>
        <v>#VALUE!</v>
      </c>
    </row>
    <row r="889" customFormat="false" ht="13" hidden="false" customHeight="false" outlineLevel="0" collapsed="false">
      <c r="A889" s="17" t="n">
        <v>13</v>
      </c>
      <c r="B889" s="0" t="n">
        <f aca="false">IFERROR(__xludf.dummyfunction("""COMPUTED_VALUE"""),1110)</f>
        <v>1110</v>
      </c>
      <c r="C889" s="24" t="n">
        <f aca="false">IFERROR(__xludf.dummyfunction("""COMPUTED_VALUE"""),10)</f>
        <v>10</v>
      </c>
      <c r="D889" s="0" t="n">
        <f aca="false">IFERROR(__xludf.dummyfunction("""COMPUTED_VALUE"""),6)</f>
        <v>6</v>
      </c>
      <c r="E889" s="0" t="n">
        <f aca="false">IFERROR(__xludf.dummyfunction("""COMPUTED_VALUE"""),10)</f>
        <v>10</v>
      </c>
      <c r="F889" s="0" t="str">
        <f aca="false">IFERROR(__xludf.dummyfunction("filter(Formulas!$C:$C,Formulas!$A:$A=B889)"),"""formula"":[{""sku"":""1010"",""req"":1}]")</f>
        <v>"formula":[{"sku":"1010","req":1}]</v>
      </c>
      <c r="G889" s="0" t="n">
        <f aca="false">IFERROR(__xludf.dummyfunction("""COMPUTED_VALUE"""),2)</f>
        <v>2</v>
      </c>
      <c r="H889" s="21" t="str">
        <f aca="false">IFERROR(__xludf.dummyfunction("IF(D889,filter(Productos!AC:AC,Productos!A:A=B889),)"),"fabrica")</f>
        <v>fabrica</v>
      </c>
      <c r="I889" s="24" t="str">
        <f aca="false">IFERROR(__xludf.dummyfunction("""COMPUTED_VALUE"""),"")</f>
        <v/>
      </c>
      <c r="K889" s="0" t="e">
        <f aca="false">IF(D889,"{""sku"":"""&amp;B889&amp;""", ""costo"":"&amp;C889&amp;", ""grupo"":"""&amp;A889&amp;""", ""lote"":"&amp;D889&amp;", ""tiempo"":"&amp;E889&amp;", "&amp;F889&amp;", ""vencimiento"":"&amp;G889&amp;IF(I889,", ""precio"":"&amp;I889,)&amp;", ""tipo"":"""&amp;H889&amp;"""},",)</f>
        <v>#VALUE!</v>
      </c>
    </row>
    <row r="890" customFormat="false" ht="13" hidden="false" customHeight="false" outlineLevel="0" collapsed="false">
      <c r="A890" s="16" t="n">
        <v>13</v>
      </c>
      <c r="B890" s="0" t="n">
        <f aca="false">IFERROR(__xludf.dummyfunction("""COMPUTED_VALUE"""),1111)</f>
        <v>1111</v>
      </c>
      <c r="C890" s="24" t="n">
        <f aca="false">IFERROR(__xludf.dummyfunction("""COMPUTED_VALUE"""),120)</f>
        <v>120</v>
      </c>
      <c r="D890" s="0" t="n">
        <f aca="false">IFERROR(__xludf.dummyfunction("""COMPUTED_VALUE"""),2)</f>
        <v>2</v>
      </c>
      <c r="E890" s="0" t="n">
        <f aca="false">IFERROR(__xludf.dummyfunction("""COMPUTED_VALUE"""),30)</f>
        <v>30</v>
      </c>
      <c r="F890" s="0" t="str">
        <f aca="false">IFERROR(__xludf.dummyfunction("filter(Formulas!$C:$C,Formulas!$A:$A=B890)"),"""formula"":[{""sku"":""1011"",""req"":2}]")</f>
        <v>"formula":[{"sku":"1011","req":2}]</v>
      </c>
      <c r="G890" s="0" t="n">
        <f aca="false">IFERROR(__xludf.dummyfunction("""COMPUTED_VALUE"""),12)</f>
        <v>12</v>
      </c>
      <c r="H890" s="21" t="str">
        <f aca="false">IFERROR(__xludf.dummyfunction("IF(D890,filter(Productos!AC:AC,Productos!A:A=B890),)"),"fabrica")</f>
        <v>fabrica</v>
      </c>
      <c r="I890" s="24" t="str">
        <f aca="false">IFERROR(__xludf.dummyfunction("""COMPUTED_VALUE"""),"")</f>
        <v/>
      </c>
      <c r="K890" s="0" t="e">
        <f aca="false">IF(D890,"{""sku"":"""&amp;B890&amp;""", ""costo"":"&amp;C890&amp;", ""grupo"":"""&amp;A890&amp;""", ""lote"":"&amp;D890&amp;", ""tiempo"":"&amp;E890&amp;", "&amp;F890&amp;", ""vencimiento"":"&amp;G890&amp;IF(I890,", ""precio"":"&amp;I890,)&amp;", ""tipo"":"""&amp;H890&amp;"""},",)</f>
        <v>#VALUE!</v>
      </c>
    </row>
    <row r="891" customFormat="false" ht="13" hidden="false" customHeight="false" outlineLevel="0" collapsed="false">
      <c r="A891" s="17" t="n">
        <v>13</v>
      </c>
      <c r="B891" s="0" t="n">
        <f aca="false">IFERROR(__xludf.dummyfunction("""COMPUTED_VALUE"""),1112)</f>
        <v>1112</v>
      </c>
      <c r="C891" s="24" t="n">
        <f aca="false">IFERROR(__xludf.dummyfunction("""COMPUTED_VALUE"""),10)</f>
        <v>10</v>
      </c>
      <c r="D891" s="0" t="n">
        <f aca="false">IFERROR(__xludf.dummyfunction("""COMPUTED_VALUE"""),20)</f>
        <v>20</v>
      </c>
      <c r="E891" s="0" t="n">
        <f aca="false">IFERROR(__xludf.dummyfunction("""COMPUTED_VALUE"""),10)</f>
        <v>10</v>
      </c>
      <c r="F891" s="0" t="str">
        <f aca="false">IFERROR(__xludf.dummyfunction("filter(Formulas!$C:$C,Formulas!$A:$A=B891)"),"""formula"":[{""sku"":""1012"",""req"":1}]")</f>
        <v>"formula":[{"sku":"1012","req":1}]</v>
      </c>
      <c r="G891" s="0" t="n">
        <f aca="false">IFERROR(__xludf.dummyfunction("""COMPUTED_VALUE"""),24)</f>
        <v>24</v>
      </c>
      <c r="H891" s="21" t="str">
        <f aca="false">IFERROR(__xludf.dummyfunction("IF(D891,filter(Productos!AC:AC,Productos!A:A=B891),)"),"fabrica")</f>
        <v>fabrica</v>
      </c>
      <c r="I891" s="24" t="str">
        <f aca="false">IFERROR(__xludf.dummyfunction("""COMPUTED_VALUE"""),"")</f>
        <v/>
      </c>
      <c r="K891" s="0" t="e">
        <f aca="false">IF(D891,"{""sku"":"""&amp;B891&amp;""", ""costo"":"&amp;C891&amp;", ""grupo"":"""&amp;A891&amp;""", ""lote"":"&amp;D891&amp;", ""tiempo"":"&amp;E891&amp;", "&amp;F891&amp;", ""vencimiento"":"&amp;G891&amp;IF(I891,", ""precio"":"&amp;I891,)&amp;", ""tipo"":"""&amp;H891&amp;"""},",)</f>
        <v>#VALUE!</v>
      </c>
    </row>
    <row r="892" customFormat="false" ht="13" hidden="false" customHeight="false" outlineLevel="0" collapsed="false">
      <c r="A892" s="16" t="n">
        <v>13</v>
      </c>
      <c r="B892" s="0" t="n">
        <f aca="false">IFERROR(__xludf.dummyfunction("""COMPUTED_VALUE"""),1114)</f>
        <v>1114</v>
      </c>
      <c r="C892" s="24" t="n">
        <f aca="false">IFERROR(__xludf.dummyfunction("""COMPUTED_VALUE"""),10)</f>
        <v>10</v>
      </c>
      <c r="D892" s="0" t="n">
        <f aca="false">IFERROR(__xludf.dummyfunction("""COMPUTED_VALUE"""),4)</f>
        <v>4</v>
      </c>
      <c r="E892" s="0" t="n">
        <f aca="false">IFERROR(__xludf.dummyfunction("""COMPUTED_VALUE"""),10)</f>
        <v>10</v>
      </c>
      <c r="F892" s="0" t="str">
        <f aca="false">IFERROR(__xludf.dummyfunction("filter(Formulas!$C:$C,Formulas!$A:$A=B892)"),"""formula"":[{""sku"":""1014"",""req"":1}]")</f>
        <v>"formula":[{"sku":"1014","req":1}]</v>
      </c>
      <c r="G892" s="0" t="n">
        <f aca="false">IFERROR(__xludf.dummyfunction("""COMPUTED_VALUE"""),2)</f>
        <v>2</v>
      </c>
      <c r="H892" s="21" t="str">
        <f aca="false">IFERROR(__xludf.dummyfunction("IF(D892,filter(Productos!AC:AC,Productos!A:A=B892),)"),"fabrica")</f>
        <v>fabrica</v>
      </c>
      <c r="I892" s="24" t="str">
        <f aca="false">IFERROR(__xludf.dummyfunction("""COMPUTED_VALUE"""),"")</f>
        <v/>
      </c>
      <c r="K892" s="0" t="e">
        <f aca="false">IF(D892,"{""sku"":"""&amp;B892&amp;""", ""costo"":"&amp;C892&amp;", ""grupo"":"""&amp;A892&amp;""", ""lote"":"&amp;D892&amp;", ""tiempo"":"&amp;E892&amp;", "&amp;F892&amp;", ""vencimiento"":"&amp;G892&amp;IF(I892,", ""precio"":"&amp;I892,)&amp;", ""tipo"":"""&amp;H892&amp;"""},",)</f>
        <v>#VALUE!</v>
      </c>
    </row>
    <row r="893" customFormat="false" ht="13" hidden="false" customHeight="false" outlineLevel="0" collapsed="false">
      <c r="A893" s="17" t="n">
        <v>13</v>
      </c>
      <c r="B893" s="0" t="n">
        <f aca="false">IFERROR(__xludf.dummyfunction("""COMPUTED_VALUE"""),1115)</f>
        <v>1115</v>
      </c>
      <c r="C893" s="24" t="n">
        <f aca="false">IFERROR(__xludf.dummyfunction("""COMPUTED_VALUE"""),10)</f>
        <v>10</v>
      </c>
      <c r="D893" s="0" t="n">
        <f aca="false">IFERROR(__xludf.dummyfunction("""COMPUTED_VALUE"""),8)</f>
        <v>8</v>
      </c>
      <c r="E893" s="0" t="n">
        <f aca="false">IFERROR(__xludf.dummyfunction("""COMPUTED_VALUE"""),10)</f>
        <v>10</v>
      </c>
      <c r="F893" s="0" t="str">
        <f aca="false">IFERROR(__xludf.dummyfunction("filter(Formulas!$C:$C,Formulas!$A:$A=B893)"),"""formula"":[{""sku"":""1015"",""req"":2}]")</f>
        <v>"formula":[{"sku":"1015","req":2}]</v>
      </c>
      <c r="G893" s="0" t="n">
        <f aca="false">IFERROR(__xludf.dummyfunction("""COMPUTED_VALUE"""),3)</f>
        <v>3</v>
      </c>
      <c r="H893" s="21" t="str">
        <f aca="false">IFERROR(__xludf.dummyfunction("IF(D893,filter(Productos!AC:AC,Productos!A:A=B893),)"),"fabrica")</f>
        <v>fabrica</v>
      </c>
      <c r="I893" s="24" t="str">
        <f aca="false">IFERROR(__xludf.dummyfunction("""COMPUTED_VALUE"""),"")</f>
        <v/>
      </c>
      <c r="K893" s="0" t="e">
        <f aca="false">IF(D893,"{""sku"":"""&amp;B893&amp;""", ""costo"":"&amp;C893&amp;", ""grupo"":"""&amp;A893&amp;""", ""lote"":"&amp;D893&amp;", ""tiempo"":"&amp;E893&amp;", "&amp;F893&amp;", ""vencimiento"":"&amp;G893&amp;IF(I893,", ""precio"":"&amp;I893,)&amp;", ""tipo"":"""&amp;H893&amp;"""},",)</f>
        <v>#VALUE!</v>
      </c>
    </row>
    <row r="894" customFormat="false" ht="13" hidden="false" customHeight="false" outlineLevel="0" collapsed="false">
      <c r="A894" s="16" t="n">
        <v>13</v>
      </c>
      <c r="B894" s="0" t="n">
        <f aca="false">IFERROR(__xludf.dummyfunction("""COMPUTED_VALUE"""),1116)</f>
        <v>1116</v>
      </c>
      <c r="C894" s="24" t="n">
        <f aca="false">IFERROR(__xludf.dummyfunction("""COMPUTED_VALUE"""),10)</f>
        <v>10</v>
      </c>
      <c r="D894" s="0" t="n">
        <f aca="false">IFERROR(__xludf.dummyfunction("""COMPUTED_VALUE"""),10)</f>
        <v>10</v>
      </c>
      <c r="E894" s="0" t="n">
        <f aca="false">IFERROR(__xludf.dummyfunction("""COMPUTED_VALUE"""),40)</f>
        <v>40</v>
      </c>
      <c r="F894" s="0" t="str">
        <f aca="false">IFERROR(__xludf.dummyfunction("filter(Formulas!$C:$C,Formulas!$A:$A=B894)"),"""formula"":[{""sku"":""1016"",""req"":11}]")</f>
        <v>"formula":[{"sku":"1016","req":11}]</v>
      </c>
      <c r="G894" s="0" t="n">
        <f aca="false">IFERROR(__xludf.dummyfunction("""COMPUTED_VALUE"""),24)</f>
        <v>24</v>
      </c>
      <c r="H894" s="21" t="str">
        <f aca="false">IFERROR(__xludf.dummyfunction("IF(D894,filter(Productos!AC:AC,Productos!A:A=B894),)"),"fabrica")</f>
        <v>fabrica</v>
      </c>
      <c r="I894" s="0" t="str">
        <f aca="false">IFERROR(__xludf.dummyfunction("""COMPUTED_VALUE"""),"")</f>
        <v/>
      </c>
      <c r="K894" s="0" t="e">
        <f aca="false">IF(D894,"{""sku"":"""&amp;B894&amp;""", ""costo"":"&amp;C894&amp;", ""grupo"":"""&amp;A894&amp;""", ""lote"":"&amp;D894&amp;", ""tiempo"":"&amp;E894&amp;", "&amp;F894&amp;", ""vencimiento"":"&amp;G894&amp;IF(I894,", ""precio"":"&amp;I894,)&amp;", ""tipo"":"""&amp;H894&amp;"""},",)</f>
        <v>#VALUE!</v>
      </c>
    </row>
    <row r="895" customFormat="false" ht="13" hidden="false" customHeight="false" outlineLevel="0" collapsed="false">
      <c r="A895" s="17" t="n">
        <v>13</v>
      </c>
      <c r="B895" s="0" t="n">
        <f aca="false">IFERROR(__xludf.dummyfunction("""COMPUTED_VALUE"""),1201)</f>
        <v>1201</v>
      </c>
      <c r="C895" s="24" t="n">
        <f aca="false">IFERROR(__xludf.dummyfunction("""COMPUTED_VALUE"""),10)</f>
        <v>10</v>
      </c>
      <c r="D895" s="0" t="n">
        <f aca="false">IFERROR(__xludf.dummyfunction("""COMPUTED_VALUE"""),10)</f>
        <v>10</v>
      </c>
      <c r="E895" s="0" t="n">
        <f aca="false">IFERROR(__xludf.dummyfunction("""COMPUTED_VALUE"""),10)</f>
        <v>10</v>
      </c>
      <c r="F895" s="0" t="str">
        <f aca="false">IFERROR(__xludf.dummyfunction("filter(Formulas!$C:$C,Formulas!$A:$A=B895)"),"""formula"":[{""sku"":""1101"",""req"":1}]")</f>
        <v>"formula":[{"sku":"1101","req":1}]</v>
      </c>
      <c r="G895" s="0" t="n">
        <f aca="false">IFERROR(__xludf.dummyfunction("""COMPUTED_VALUE"""),2)</f>
        <v>2</v>
      </c>
      <c r="H895" s="21" t="str">
        <f aca="false">IFERROR(__xludf.dummyfunction("IF(D895,filter(Productos!AC:AC,Productos!A:A=B895),)"),"fabrica")</f>
        <v>fabrica</v>
      </c>
      <c r="I895" s="24" t="str">
        <f aca="false">IFERROR(__xludf.dummyfunction("""COMPUTED_VALUE"""),"")</f>
        <v/>
      </c>
      <c r="K895" s="0" t="e">
        <f aca="false">IF(D895,"{""sku"":"""&amp;B895&amp;""", ""costo"":"&amp;C895&amp;", ""grupo"":"""&amp;A895&amp;""", ""lote"":"&amp;D895&amp;", ""tiempo"":"&amp;E895&amp;", "&amp;F895&amp;", ""vencimiento"":"&amp;G895&amp;IF(I895,", ""precio"":"&amp;I895,)&amp;", ""tipo"":"""&amp;H895&amp;"""},",)</f>
        <v>#VALUE!</v>
      </c>
    </row>
    <row r="896" customFormat="false" ht="13" hidden="false" customHeight="false" outlineLevel="0" collapsed="false">
      <c r="A896" s="16" t="n">
        <v>13</v>
      </c>
      <c r="B896" s="0" t="n">
        <f aca="false">IFERROR(__xludf.dummyfunction("""COMPUTED_VALUE"""),1207)</f>
        <v>1207</v>
      </c>
      <c r="C896" s="24" t="n">
        <f aca="false">IFERROR(__xludf.dummyfunction("""COMPUTED_VALUE"""),30)</f>
        <v>30</v>
      </c>
      <c r="D896" s="0" t="n">
        <f aca="false">IFERROR(__xludf.dummyfunction("""COMPUTED_VALUE"""),12)</f>
        <v>12</v>
      </c>
      <c r="E896" s="0" t="n">
        <f aca="false">IFERROR(__xludf.dummyfunction("""COMPUTED_VALUE"""),20)</f>
        <v>20</v>
      </c>
      <c r="F896" s="0" t="str">
        <f aca="false">IFERROR(__xludf.dummyfunction("filter(Formulas!$C:$C,Formulas!$A:$A=B896)"),"""formula"":[{""sku"":""1007"",""req"":1}]")</f>
        <v>"formula":[{"sku":"1007","req":1}]</v>
      </c>
      <c r="G896" s="0" t="n">
        <f aca="false">IFERROR(__xludf.dummyfunction("""COMPUTED_VALUE"""),2)</f>
        <v>2</v>
      </c>
      <c r="H896" s="21" t="str">
        <f aca="false">IFERROR(__xludf.dummyfunction("IF(D896,filter(Productos!AC:AC,Productos!A:A=B896),)"),"fabrica")</f>
        <v>fabrica</v>
      </c>
      <c r="I896" s="24" t="str">
        <f aca="false">IFERROR(__xludf.dummyfunction("""COMPUTED_VALUE"""),"")</f>
        <v/>
      </c>
      <c r="K896" s="0" t="e">
        <f aca="false">IF(D896,"{""sku"":"""&amp;B896&amp;""", ""costo"":"&amp;C896&amp;", ""grupo"":"""&amp;A896&amp;""", ""lote"":"&amp;D896&amp;", ""tiempo"":"&amp;E896&amp;", "&amp;F896&amp;", ""vencimiento"":"&amp;G896&amp;IF(I896,", ""precio"":"&amp;I896,)&amp;", ""tipo"":"""&amp;H896&amp;"""},",)</f>
        <v>#VALUE!</v>
      </c>
    </row>
    <row r="897" customFormat="false" ht="13" hidden="false" customHeight="false" outlineLevel="0" collapsed="false">
      <c r="A897" s="17" t="n">
        <v>13</v>
      </c>
      <c r="B897" s="0" t="n">
        <f aca="false">IFERROR(__xludf.dummyfunction("""COMPUTED_VALUE"""),1209)</f>
        <v>1209</v>
      </c>
      <c r="C897" s="24" t="n">
        <f aca="false">IFERROR(__xludf.dummyfunction("""COMPUTED_VALUE"""),30)</f>
        <v>30</v>
      </c>
      <c r="D897" s="0" t="n">
        <f aca="false">IFERROR(__xludf.dummyfunction("""COMPUTED_VALUE"""),14)</f>
        <v>14</v>
      </c>
      <c r="E897" s="0" t="n">
        <f aca="false">IFERROR(__xludf.dummyfunction("""COMPUTED_VALUE"""),30)</f>
        <v>30</v>
      </c>
      <c r="F897" s="0" t="str">
        <f aca="false">IFERROR(__xludf.dummyfunction("filter(Formulas!$C:$C,Formulas!$A:$A=B897)"),"""formula"":[{""sku"":""1009"",""req"":1}]")</f>
        <v>"formula":[{"sku":"1009","req":1}]</v>
      </c>
      <c r="G897" s="0" t="n">
        <f aca="false">IFERROR(__xludf.dummyfunction("""COMPUTED_VALUE"""),1.5)</f>
        <v>1.5</v>
      </c>
      <c r="H897" s="21" t="str">
        <f aca="false">IFERROR(__xludf.dummyfunction("IF(D897,filter(Productos!AC:AC,Productos!A:A=B897),)"),"fabrica")</f>
        <v>fabrica</v>
      </c>
      <c r="I897" s="24" t="str">
        <f aca="false">IFERROR(__xludf.dummyfunction("""COMPUTED_VALUE"""),"")</f>
        <v/>
      </c>
      <c r="K897" s="0" t="e">
        <f aca="false">IF(D897,"{""sku"":"""&amp;B897&amp;""", ""costo"":"&amp;C897&amp;", ""grupo"":"""&amp;A897&amp;""", ""lote"":"&amp;D897&amp;", ""tiempo"":"&amp;E897&amp;", "&amp;F897&amp;", ""vencimiento"":"&amp;G897&amp;IF(I897,", ""precio"":"&amp;I897,)&amp;", ""tipo"":"""&amp;H897&amp;"""},",)</f>
        <v>#VALUE!</v>
      </c>
    </row>
    <row r="898" customFormat="false" ht="13" hidden="false" customHeight="false" outlineLevel="0" collapsed="false">
      <c r="A898" s="16" t="n">
        <v>13</v>
      </c>
      <c r="B898" s="0" t="n">
        <f aca="false">IFERROR(__xludf.dummyfunction("""COMPUTED_VALUE"""),1210)</f>
        <v>1210</v>
      </c>
      <c r="C898" s="24" t="n">
        <f aca="false">IFERROR(__xludf.dummyfunction("""COMPUTED_VALUE"""),10)</f>
        <v>10</v>
      </c>
      <c r="D898" s="0" t="n">
        <f aca="false">IFERROR(__xludf.dummyfunction("""COMPUTED_VALUE"""),9)</f>
        <v>9</v>
      </c>
      <c r="E898" s="0" t="n">
        <f aca="false">IFERROR(__xludf.dummyfunction("""COMPUTED_VALUE"""),10)</f>
        <v>10</v>
      </c>
      <c r="F898" s="0" t="str">
        <f aca="false">IFERROR(__xludf.dummyfunction("filter(Formulas!$C:$C,Formulas!$A:$A=B898)"),"""formula"":[{""sku"":""1010"",""req"":1}]")</f>
        <v>"formula":[{"sku":"1010","req":1}]</v>
      </c>
      <c r="G898" s="0" t="n">
        <f aca="false">IFERROR(__xludf.dummyfunction("""COMPUTED_VALUE"""),2.3)</f>
        <v>2.3</v>
      </c>
      <c r="H898" s="21" t="str">
        <f aca="false">IFERROR(__xludf.dummyfunction("IF(D898,filter(Productos!AC:AC,Productos!A:A=B898),)"),"fabrica")</f>
        <v>fabrica</v>
      </c>
      <c r="I898" s="24" t="str">
        <f aca="false">IFERROR(__xludf.dummyfunction("""COMPUTED_VALUE"""),"")</f>
        <v/>
      </c>
      <c r="K898" s="0" t="e">
        <f aca="false">IF(D898,"{""sku"":"""&amp;B898&amp;""", ""costo"":"&amp;C898&amp;", ""grupo"":"""&amp;A898&amp;""", ""lote"":"&amp;D898&amp;", ""tiempo"":"&amp;E898&amp;", "&amp;F898&amp;", ""vencimiento"":"&amp;G898&amp;IF(I898,", ""precio"":"&amp;I898,)&amp;", ""tipo"":"""&amp;H898&amp;"""},",)</f>
        <v>#VALUE!</v>
      </c>
    </row>
    <row r="899" customFormat="false" ht="13" hidden="false" customHeight="false" outlineLevel="0" collapsed="false">
      <c r="A899" s="17" t="n">
        <v>13</v>
      </c>
      <c r="B899" s="0" t="n">
        <f aca="false">IFERROR(__xludf.dummyfunction("""COMPUTED_VALUE"""),1211)</f>
        <v>1211</v>
      </c>
      <c r="C899" s="24" t="n">
        <f aca="false">IFERROR(__xludf.dummyfunction("""COMPUTED_VALUE"""),10)</f>
        <v>10</v>
      </c>
      <c r="D899" s="0" t="n">
        <f aca="false">IFERROR(__xludf.dummyfunction("""COMPUTED_VALUE"""),10)</f>
        <v>10</v>
      </c>
      <c r="E899" s="0" t="n">
        <f aca="false">IFERROR(__xludf.dummyfunction("""COMPUTED_VALUE"""),10)</f>
        <v>10</v>
      </c>
      <c r="F899" s="0" t="str">
        <f aca="false">IFERROR(__xludf.dummyfunction("filter(Formulas!$C:$C,Formulas!$A:$A=B899)"),"""formula"":[{""sku"":""1111"",""req"":1}]")</f>
        <v>"formula":[{"sku":"1111","req":1}]</v>
      </c>
      <c r="G899" s="0" t="n">
        <f aca="false">IFERROR(__xludf.dummyfunction("""COMPUTED_VALUE"""),12)</f>
        <v>12</v>
      </c>
      <c r="H899" s="21" t="str">
        <f aca="false">IFERROR(__xludf.dummyfunction("IF(D899,filter(Productos!AC:AC,Productos!A:A=B899),)"),"fabrica")</f>
        <v>fabrica</v>
      </c>
      <c r="I899" s="24" t="str">
        <f aca="false">IFERROR(__xludf.dummyfunction("""COMPUTED_VALUE"""),"")</f>
        <v/>
      </c>
      <c r="K899" s="0" t="e">
        <f aca="false">IF(D899,"{""sku"":"""&amp;B899&amp;""", ""costo"":"&amp;C899&amp;", ""grupo"":"""&amp;A899&amp;""", ""lote"":"&amp;D899&amp;", ""tiempo"":"&amp;E899&amp;", "&amp;F899&amp;", ""vencimiento"":"&amp;G899&amp;IF(I899,", ""precio"":"&amp;I899,)&amp;", ""tipo"":"""&amp;H899&amp;"""},",)</f>
        <v>#VALUE!</v>
      </c>
    </row>
    <row r="900" customFormat="false" ht="13" hidden="false" customHeight="false" outlineLevel="0" collapsed="false">
      <c r="A900" s="16" t="n">
        <v>13</v>
      </c>
      <c r="B900" s="0" t="n">
        <f aca="false">IFERROR(__xludf.dummyfunction("""COMPUTED_VALUE"""),1215)</f>
        <v>1215</v>
      </c>
      <c r="C900" s="24" t="n">
        <f aca="false">IFERROR(__xludf.dummyfunction("""COMPUTED_VALUE"""),0)</f>
        <v>0</v>
      </c>
      <c r="D900" s="0" t="n">
        <f aca="false">IFERROR(__xludf.dummyfunction("""COMPUTED_VALUE"""),8)</f>
        <v>8</v>
      </c>
      <c r="E900" s="0" t="n">
        <f aca="false">IFERROR(__xludf.dummyfunction("""COMPUTED_VALUE"""),10)</f>
        <v>10</v>
      </c>
      <c r="F900" s="0" t="str">
        <f aca="false">IFERROR(__xludf.dummyfunction("filter(Formulas!$C:$C,Formulas!$A:$A=B900)"),"""formula"":[{""sku"":""1015"",""req"":4}]")</f>
        <v>"formula":[{"sku":"1015","req":4}]</v>
      </c>
      <c r="G900" s="0" t="n">
        <f aca="false">IFERROR(__xludf.dummyfunction("""COMPUTED_VALUE"""),3)</f>
        <v>3</v>
      </c>
      <c r="H900" s="21" t="str">
        <f aca="false">IFERROR(__xludf.dummyfunction("IF(D900,filter(Productos!AC:AC,Productos!A:A=B900),)"),"fabrica")</f>
        <v>fabrica</v>
      </c>
      <c r="I900" s="24" t="str">
        <f aca="false">IFERROR(__xludf.dummyfunction("""COMPUTED_VALUE"""),"")</f>
        <v/>
      </c>
      <c r="K900" s="0" t="e">
        <f aca="false">IF(D900,"{""sku"":"""&amp;B900&amp;""", ""costo"":"&amp;C900&amp;", ""grupo"":"""&amp;A900&amp;""", ""lote"":"&amp;D900&amp;", ""tiempo"":"&amp;E900&amp;", "&amp;F900&amp;", ""vencimiento"":"&amp;G900&amp;IF(I900,", ""precio"":"&amp;I900,)&amp;", ""tipo"":"""&amp;H900&amp;"""},",)</f>
        <v>#VALUE!</v>
      </c>
    </row>
    <row r="901" customFormat="false" ht="13" hidden="false" customHeight="false" outlineLevel="0" collapsed="false">
      <c r="A901" s="17" t="n">
        <v>13</v>
      </c>
      <c r="B901" s="0" t="n">
        <f aca="false">IFERROR(__xludf.dummyfunction("""COMPUTED_VALUE"""),1216)</f>
        <v>1216</v>
      </c>
      <c r="C901" s="24" t="n">
        <f aca="false">IFERROR(__xludf.dummyfunction("""COMPUTED_VALUE"""),10)</f>
        <v>10</v>
      </c>
      <c r="D901" s="0" t="n">
        <f aca="false">IFERROR(__xludf.dummyfunction("""COMPUTED_VALUE"""),10)</f>
        <v>10</v>
      </c>
      <c r="E901" s="0" t="n">
        <f aca="false">IFERROR(__xludf.dummyfunction("""COMPUTED_VALUE"""),30)</f>
        <v>30</v>
      </c>
      <c r="F901" s="0" t="str">
        <f aca="false">IFERROR(__xludf.dummyfunction("filter(Formulas!$C:$C,Formulas!$A:$A=B901)"),"""formula"":[{""sku"":""1016"",""req"":2}]")</f>
        <v>"formula":[{"sku":"1016","req":2}]</v>
      </c>
      <c r="G901" s="0" t="n">
        <f aca="false">IFERROR(__xludf.dummyfunction("""COMPUTED_VALUE"""),24)</f>
        <v>24</v>
      </c>
      <c r="H901" s="21" t="str">
        <f aca="false">IFERROR(__xludf.dummyfunction("IF(D901,filter(Productos!AC:AC,Productos!A:A=B901),)"),"fabrica")</f>
        <v>fabrica</v>
      </c>
      <c r="I901" s="0" t="str">
        <f aca="false">IFERROR(__xludf.dummyfunction("""COMPUTED_VALUE"""),"")</f>
        <v/>
      </c>
      <c r="K901" s="0" t="e">
        <f aca="false">IF(D901,"{""sku"":"""&amp;B901&amp;""", ""costo"":"&amp;C901&amp;", ""grupo"":"""&amp;A901&amp;""", ""lote"":"&amp;D901&amp;", ""tiempo"":"&amp;E901&amp;", "&amp;F901&amp;", ""vencimiento"":"&amp;G901&amp;IF(I901,", ""precio"":"&amp;I901,)&amp;", ""tipo"":"""&amp;H901&amp;"""},",)</f>
        <v>#VALUE!</v>
      </c>
    </row>
    <row r="902" customFormat="false" ht="13" hidden="false" customHeight="false" outlineLevel="0" collapsed="false">
      <c r="A902" s="16" t="n">
        <v>13</v>
      </c>
      <c r="B902" s="0" t="n">
        <f aca="false">IFERROR(__xludf.dummyfunction("""COMPUTED_VALUE"""),1301)</f>
        <v>1301</v>
      </c>
      <c r="C902" s="24" t="n">
        <f aca="false">IFERROR(__xludf.dummyfunction("""COMPUTED_VALUE"""),10)</f>
        <v>10</v>
      </c>
      <c r="D902" s="0" t="n">
        <f aca="false">IFERROR(__xludf.dummyfunction("""COMPUTED_VALUE"""),5)</f>
        <v>5</v>
      </c>
      <c r="E902" s="0" t="n">
        <f aca="false">IFERROR(__xludf.dummyfunction("""COMPUTED_VALUE"""),10)</f>
        <v>10</v>
      </c>
      <c r="F902" s="0" t="str">
        <f aca="false">IFERROR(__xludf.dummyfunction("filter(Formulas!$C:$C,Formulas!$A:$A=B902)"),"""formula"":[{""sku"":""1101"",""req"":1}]")</f>
        <v>"formula":[{"sku":"1101","req":1}]</v>
      </c>
      <c r="G902" s="0" t="n">
        <f aca="false">IFERROR(__xludf.dummyfunction("""COMPUTED_VALUE"""),2)</f>
        <v>2</v>
      </c>
      <c r="H902" s="21" t="str">
        <f aca="false">IFERROR(__xludf.dummyfunction("IF(D902,filter(Productos!AC:AC,Productos!A:A=B902),)"),"fabrica")</f>
        <v>fabrica</v>
      </c>
      <c r="I902" s="24" t="str">
        <f aca="false">IFERROR(__xludf.dummyfunction("""COMPUTED_VALUE"""),"")</f>
        <v/>
      </c>
      <c r="K902" s="0" t="e">
        <f aca="false">IF(D902,"{""sku"":"""&amp;B902&amp;""", ""costo"":"&amp;C902&amp;", ""grupo"":"""&amp;A902&amp;""", ""lote"":"&amp;D902&amp;", ""tiempo"":"&amp;E902&amp;", "&amp;F902&amp;", ""vencimiento"":"&amp;G902&amp;IF(I902,", ""precio"":"&amp;I902,)&amp;", ""tipo"":"""&amp;H902&amp;"""},",)</f>
        <v>#VALUE!</v>
      </c>
    </row>
    <row r="903" customFormat="false" ht="13" hidden="false" customHeight="false" outlineLevel="0" collapsed="false">
      <c r="A903" s="17" t="n">
        <v>13</v>
      </c>
      <c r="B903" s="0" t="n">
        <f aca="false">IFERROR(__xludf.dummyfunction("""COMPUTED_VALUE"""),1307)</f>
        <v>1307</v>
      </c>
      <c r="C903" s="24" t="n">
        <f aca="false">IFERROR(__xludf.dummyfunction("""COMPUTED_VALUE"""),50)</f>
        <v>50</v>
      </c>
      <c r="D903" s="0" t="n">
        <f aca="false">IFERROR(__xludf.dummyfunction("""COMPUTED_VALUE"""),11)</f>
        <v>11</v>
      </c>
      <c r="E903" s="0" t="n">
        <f aca="false">IFERROR(__xludf.dummyfunction("""COMPUTED_VALUE"""),30)</f>
        <v>30</v>
      </c>
      <c r="F903" s="0" t="str">
        <f aca="false">IFERROR(__xludf.dummyfunction("filter(Formulas!$C:$C,Formulas!$A:$A=B903)"),"""formula"":[{""sku"":""1007"",""req"":1}]")</f>
        <v>"formula":[{"sku":"1007","req":1}]</v>
      </c>
      <c r="G903" s="0" t="n">
        <f aca="false">IFERROR(__xludf.dummyfunction("""COMPUTED_VALUE"""),1.2)</f>
        <v>1.2</v>
      </c>
      <c r="H903" s="21" t="str">
        <f aca="false">IFERROR(__xludf.dummyfunction("IF(D903,filter(Productos!AC:AC,Productos!A:A=B903),)"),"fabrica")</f>
        <v>fabrica</v>
      </c>
      <c r="I903" s="24" t="str">
        <f aca="false">IFERROR(__xludf.dummyfunction("""COMPUTED_VALUE"""),"")</f>
        <v/>
      </c>
      <c r="K903" s="0" t="e">
        <f aca="false">IF(D903,"{""sku"":"""&amp;B903&amp;""", ""costo"":"&amp;C903&amp;", ""grupo"":"""&amp;A903&amp;""", ""lote"":"&amp;D903&amp;", ""tiempo"":"&amp;E903&amp;", "&amp;F903&amp;", ""vencimiento"":"&amp;G903&amp;IF(I903,", ""precio"":"&amp;I903,)&amp;", ""tipo"":"""&amp;H903&amp;"""},",)</f>
        <v>#VALUE!</v>
      </c>
    </row>
    <row r="904" customFormat="false" ht="13" hidden="false" customHeight="false" outlineLevel="0" collapsed="false">
      <c r="A904" s="16" t="n">
        <v>13</v>
      </c>
      <c r="B904" s="0" t="n">
        <f aca="false">IFERROR(__xludf.dummyfunction("""COMPUTED_VALUE"""),1309)</f>
        <v>1309</v>
      </c>
      <c r="C904" s="24" t="n">
        <f aca="false">IFERROR(__xludf.dummyfunction("""COMPUTED_VALUE"""),50)</f>
        <v>50</v>
      </c>
      <c r="D904" s="0" t="n">
        <f aca="false">IFERROR(__xludf.dummyfunction("""COMPUTED_VALUE"""),11)</f>
        <v>11</v>
      </c>
      <c r="E904" s="0" t="n">
        <f aca="false">IFERROR(__xludf.dummyfunction("""COMPUTED_VALUE"""),50)</f>
        <v>50</v>
      </c>
      <c r="F904" s="0" t="str">
        <f aca="false">IFERROR(__xludf.dummyfunction("filter(Formulas!$C:$C,Formulas!$A:$A=B904)"),"""formula"":[{""sku"":""1009"",""req"":1}]")</f>
        <v>"formula":[{"sku":"1009","req":1}]</v>
      </c>
      <c r="G904" s="0" t="n">
        <f aca="false">IFERROR(__xludf.dummyfunction("""COMPUTED_VALUE"""),1.2)</f>
        <v>1.2</v>
      </c>
      <c r="H904" s="21" t="str">
        <f aca="false">IFERROR(__xludf.dummyfunction("IF(D904,filter(Productos!AC:AC,Productos!A:A=B904),)"),"fabrica")</f>
        <v>fabrica</v>
      </c>
      <c r="I904" s="24" t="str">
        <f aca="false">IFERROR(__xludf.dummyfunction("""COMPUTED_VALUE"""),"")</f>
        <v/>
      </c>
      <c r="K904" s="0" t="e">
        <f aca="false">IF(D904,"{""sku"":"""&amp;B904&amp;""", ""costo"":"&amp;C904&amp;", ""grupo"":"""&amp;A904&amp;""", ""lote"":"&amp;D904&amp;", ""tiempo"":"&amp;E904&amp;", "&amp;F904&amp;", ""vencimiento"":"&amp;G904&amp;IF(I904,", ""precio"":"&amp;I904,)&amp;", ""tipo"":"""&amp;H904&amp;"""},",)</f>
        <v>#VALUE!</v>
      </c>
    </row>
    <row r="905" customFormat="false" ht="13" hidden="false" customHeight="false" outlineLevel="0" collapsed="false">
      <c r="A905" s="17" t="n">
        <v>13</v>
      </c>
      <c r="B905" s="0" t="n">
        <f aca="false">IFERROR(__xludf.dummyfunction("""COMPUTED_VALUE"""),1310)</f>
        <v>1310</v>
      </c>
      <c r="C905" s="24" t="n">
        <f aca="false">IFERROR(__xludf.dummyfunction("""COMPUTED_VALUE"""),10)</f>
        <v>10</v>
      </c>
      <c r="D905" s="0" t="n">
        <f aca="false">IFERROR(__xludf.dummyfunction("""COMPUTED_VALUE"""),12)</f>
        <v>12</v>
      </c>
      <c r="E905" s="0" t="n">
        <f aca="false">IFERROR(__xludf.dummyfunction("""COMPUTED_VALUE"""),10)</f>
        <v>10</v>
      </c>
      <c r="F905" s="0" t="str">
        <f aca="false">IFERROR(__xludf.dummyfunction("filter(Formulas!$C:$C,Formulas!$A:$A=B905)"),"""formula"":[{""sku"":""1010"",""req"":1}]")</f>
        <v>"formula":[{"sku":"1010","req":1}]</v>
      </c>
      <c r="G905" s="0" t="n">
        <f aca="false">IFERROR(__xludf.dummyfunction("""COMPUTED_VALUE"""),2)</f>
        <v>2</v>
      </c>
      <c r="H905" s="21" t="str">
        <f aca="false">IFERROR(__xludf.dummyfunction("IF(D905,filter(Productos!AC:AC,Productos!A:A=B905),)"),"fabrica")</f>
        <v>fabrica</v>
      </c>
      <c r="I905" s="24" t="str">
        <f aca="false">IFERROR(__xludf.dummyfunction("""COMPUTED_VALUE"""),"")</f>
        <v/>
      </c>
      <c r="K905" s="0" t="e">
        <f aca="false">IF(D905,"{""sku"":"""&amp;B905&amp;""", ""costo"":"&amp;C905&amp;", ""grupo"":"""&amp;A905&amp;""", ""lote"":"&amp;D905&amp;", ""tiempo"":"&amp;E905&amp;", "&amp;F905&amp;", ""vencimiento"":"&amp;G905&amp;IF(I905,", ""precio"":"&amp;I905,)&amp;", ""tipo"":"""&amp;H905&amp;"""},",)</f>
        <v>#VALUE!</v>
      </c>
    </row>
    <row r="906" customFormat="false" ht="13" hidden="false" customHeight="false" outlineLevel="0" collapsed="false">
      <c r="A906" s="16" t="n">
        <v>13</v>
      </c>
      <c r="B906" s="0" t="n">
        <f aca="false">IFERROR(__xludf.dummyfunction("""COMPUTED_VALUE"""),1407)</f>
        <v>1407</v>
      </c>
      <c r="C906" s="24" t="n">
        <f aca="false">IFERROR(__xludf.dummyfunction("""COMPUTED_VALUE"""),10)</f>
        <v>10</v>
      </c>
      <c r="D906" s="0" t="n">
        <f aca="false">IFERROR(__xludf.dummyfunction("""COMPUTED_VALUE"""),14)</f>
        <v>14</v>
      </c>
      <c r="E906" s="0" t="n">
        <f aca="false">IFERROR(__xludf.dummyfunction("""COMPUTED_VALUE"""),30)</f>
        <v>30</v>
      </c>
      <c r="F906" s="0" t="str">
        <f aca="false">IFERROR(__xludf.dummyfunction("filter(Formulas!$C:$C,Formulas!$A:$A=B906)"),"""formula"":[{""sku"":""1007"",""req"":1}]")</f>
        <v>"formula":[{"sku":"1007","req":1}]</v>
      </c>
      <c r="G906" s="0" t="n">
        <f aca="false">IFERROR(__xludf.dummyfunction("""COMPUTED_VALUE"""),2)</f>
        <v>2</v>
      </c>
      <c r="H906" s="21" t="str">
        <f aca="false">IFERROR(__xludf.dummyfunction("IF(D906,filter(Productos!AC:AC,Productos!A:A=B906),)"),"fabrica")</f>
        <v>fabrica</v>
      </c>
      <c r="I906" s="24" t="str">
        <f aca="false">IFERROR(__xludf.dummyfunction("""COMPUTED_VALUE"""),"")</f>
        <v/>
      </c>
      <c r="K906" s="0" t="e">
        <f aca="false">IF(D906,"{""sku"":"""&amp;B906&amp;""", ""costo"":"&amp;C906&amp;", ""grupo"":"""&amp;A906&amp;""", ""lote"":"&amp;D906&amp;", ""tiempo"":"&amp;E906&amp;", "&amp;F906&amp;", ""vencimiento"":"&amp;G906&amp;IF(I906,", ""precio"":"&amp;I906,)&amp;", ""tipo"":"""&amp;H906&amp;"""},",)</f>
        <v>#VALUE!</v>
      </c>
    </row>
    <row r="907" customFormat="false" ht="13" hidden="false" customHeight="false" outlineLevel="0" collapsed="false">
      <c r="A907" s="17" t="n">
        <v>13</v>
      </c>
      <c r="B907" s="0" t="n">
        <f aca="false">IFERROR(__xludf.dummyfunction("""COMPUTED_VALUE"""),10001)</f>
        <v>10001</v>
      </c>
      <c r="C907" s="24" t="n">
        <f aca="false">IFERROR(__xludf.dummyfunction("""COMPUTED_VALUE"""),10)</f>
        <v>10</v>
      </c>
      <c r="D907" s="0" t="n">
        <f aca="false">IFERROR(__xludf.dummyfunction("""COMPUTED_VALUE"""),1)</f>
        <v>1</v>
      </c>
      <c r="E907" s="0" t="n">
        <f aca="false">IFERROR(__xludf.dummyfunction("""COMPUTED_VALUE"""),10)</f>
        <v>10</v>
      </c>
      <c r="F907" s="0" t="str">
        <f aca="false">IFERROR(__xludf.dummyfunction("filter(Formulas!$C:$C,Formulas!$A:$A=B907)"),"""formula"":[{""sku"":""1201"",""req"":1},{""sku"":""1105"",""req"":1},{""sku"":""1210"",""req"":1},{""sku"":""1211"",""req"":1},{""sku"":""1116"",""req"":1}]")</f>
        <v>"formula":[{"sku":"1201","req":1},{"sku":"1105","req":1},{"sku":"1210","req":1},{"sku":"1211","req":1},{"sku":"1116","req":1}]</v>
      </c>
      <c r="G907" s="0" t="n">
        <f aca="false">IFERROR(__xludf.dummyfunction("""COMPUTED_VALUE"""),1)</f>
        <v>1</v>
      </c>
      <c r="H907" s="21" t="str">
        <f aca="false">IFERROR(__xludf.dummyfunction("IF(D907,filter(Productos!AC:AC,Productos!A:A=B907),)"),"cocina")</f>
        <v>cocina</v>
      </c>
      <c r="I907" s="24" t="n">
        <f aca="false">IFERROR(__xludf.dummyfunction("""COMPUTED_VALUE"""),4500)</f>
        <v>4500</v>
      </c>
      <c r="K907" s="0" t="str">
        <f aca="false">IF(D907,"{""sku"":"""&amp;B907&amp;""", ""costo"":"&amp;C907&amp;", ""grupo"":"""&amp;A907&amp;""", ""lote"":"&amp;D907&amp;", ""tiempo"":"&amp;E907&amp;", "&amp;F907&amp;", ""vencimiento"":"&amp;G907&amp;IF(I907,", ""precio"":"&amp;I907,)&amp;", ""tipo"":"""&amp;H907&amp;"""},",)</f>
        <v>{"sku":"10001", "costo":10, "grupo":"13", "lote":1, "tiempo":10, "formula":[{"sku":"1201","req":1},{"sku":"1105","req":1},{"sku":"1210","req":1},{"sku":"1211","req":1},{"sku":"1116","req":1}], "vencimiento":1, "precio":4500, "tipo":"cocina"},</v>
      </c>
    </row>
    <row r="908" customFormat="false" ht="13" hidden="false" customHeight="false" outlineLevel="0" collapsed="false">
      <c r="A908" s="16" t="n">
        <v>13</v>
      </c>
      <c r="B908" s="0" t="n">
        <f aca="false">IFERROR(__xludf.dummyfunction("""COMPUTED_VALUE"""),10002)</f>
        <v>10002</v>
      </c>
      <c r="C908" s="24" t="n">
        <f aca="false">IFERROR(__xludf.dummyfunction("""COMPUTED_VALUE"""),10)</f>
        <v>10</v>
      </c>
      <c r="D908" s="0" t="n">
        <f aca="false">IFERROR(__xludf.dummyfunction("""COMPUTED_VALUE"""),1)</f>
        <v>1</v>
      </c>
      <c r="E908" s="0" t="n">
        <f aca="false">IFERROR(__xludf.dummyfunction("""COMPUTED_VALUE"""),20)</f>
        <v>20</v>
      </c>
      <c r="F908" s="0" t="str">
        <f aca="false">IFERROR(__xludf.dummyfunction("filter(Formulas!$C:$C,Formulas!$A:$A=B908)"),"""formula"":[{""sku"":""1201"",""req"":1},{""sku"":""1105"",""req"":1},{""sku"":""1013"",""req"":5},{""sku"":""1210"",""req"":1},{""sku"":""1116"",""req"":1}]")</f>
        <v>"formula":[{"sku":"1201","req":1},{"sku":"1105","req":1},{"sku":"1013","req":5},{"sku":"1210","req":1},{"sku":"1116","req":1}]</v>
      </c>
      <c r="G908" s="0" t="n">
        <f aca="false">IFERROR(__xludf.dummyfunction("""COMPUTED_VALUE"""),1)</f>
        <v>1</v>
      </c>
      <c r="H908" s="21" t="str">
        <f aca="false">IFERROR(__xludf.dummyfunction("IF(D908,filter(Productos!AC:AC,Productos!A:A=B908),)"),"cocina")</f>
        <v>cocina</v>
      </c>
      <c r="I908" s="24" t="n">
        <f aca="false">IFERROR(__xludf.dummyfunction("""COMPUTED_VALUE"""),4500)</f>
        <v>4500</v>
      </c>
      <c r="K908" s="0" t="str">
        <f aca="false">IF(D908,"{""sku"":"""&amp;B908&amp;""", ""costo"":"&amp;C908&amp;", ""grupo"":"""&amp;A908&amp;""", ""lote"":"&amp;D908&amp;", ""tiempo"":"&amp;E908&amp;", "&amp;F908&amp;", ""vencimiento"":"&amp;G908&amp;IF(I908,", ""precio"":"&amp;I908,)&amp;", ""tipo"":"""&amp;H908&amp;"""},",)</f>
        <v>{"sku":"10002", "costo":10, "grupo":"13", "lote":1, "tiempo":20, "formula":[{"sku":"1201","req":1},{"sku":"1105","req":1},{"sku":"1013","req":5},{"sku":"1210","req":1},{"sku":"1116","req":1}], "vencimiento":1, "precio":4500, "tipo":"cocina"},</v>
      </c>
    </row>
    <row r="909" customFormat="false" ht="13" hidden="false" customHeight="false" outlineLevel="0" collapsed="false">
      <c r="A909" s="17" t="n">
        <v>13</v>
      </c>
      <c r="B909" s="0" t="n">
        <f aca="false">IFERROR(__xludf.dummyfunction("""COMPUTED_VALUE"""),10003)</f>
        <v>10003</v>
      </c>
      <c r="C909" s="24" t="n">
        <f aca="false">IFERROR(__xludf.dummyfunction("""COMPUTED_VALUE"""),10)</f>
        <v>10</v>
      </c>
      <c r="D909" s="0" t="n">
        <f aca="false">IFERROR(__xludf.dummyfunction("""COMPUTED_VALUE"""),1)</f>
        <v>1</v>
      </c>
      <c r="E909" s="0" t="n">
        <f aca="false">IFERROR(__xludf.dummyfunction("""COMPUTED_VALUE"""),30)</f>
        <v>30</v>
      </c>
      <c r="F909" s="0" t="str">
        <f aca="false">IFERROR(__xludf.dummyfunction("filter(Formulas!$C:$C,Formulas!$A:$A=B909)"),"""formula"":[{""sku"":""1201"",""req"":1},{""sku"":""1105"",""req"":1},{""sku"":""1013"",""req"":5},{""sku"":""1210"",""req"":1},{""sku"":""1211"",""req"":1},{""sku"":""1116"",""req"":1}]")</f>
        <v>"formula":[{"sku":"1201","req":1},{"sku":"1105","req":1},{"sku":"1013","req":5},{"sku":"1210","req":1},{"sku":"1211","req":1},{"sku":"1116","req":1}]</v>
      </c>
      <c r="G909" s="0" t="n">
        <f aca="false">IFERROR(__xludf.dummyfunction("""COMPUTED_VALUE"""),1)</f>
        <v>1</v>
      </c>
      <c r="H909" s="21" t="str">
        <f aca="false">IFERROR(__xludf.dummyfunction("IF(D909,filter(Productos!AC:AC,Productos!A:A=B909),)"),"cocina")</f>
        <v>cocina</v>
      </c>
      <c r="I909" s="24" t="n">
        <f aca="false">IFERROR(__xludf.dummyfunction("""COMPUTED_VALUE"""),4700)</f>
        <v>4700</v>
      </c>
      <c r="K909" s="0" t="str">
        <f aca="false">IF(D909,"{""sku"":"""&amp;B909&amp;""", ""costo"":"&amp;C909&amp;", ""grupo"":"""&amp;A909&amp;""", ""lote"":"&amp;D909&amp;", ""tiempo"":"&amp;E909&amp;", "&amp;F909&amp;", ""vencimiento"":"&amp;G909&amp;IF(I909,", ""precio"":"&amp;I909,)&amp;", ""tipo"":"""&amp;H909&amp;"""},",)</f>
        <v>{"sku":"10003", "costo":10, "grupo":"13", "lote":1, "tiempo":30, "formula":[{"sku":"1201","req":1},{"sku":"1105","req":1},{"sku":"1013","req":5},{"sku":"1210","req":1},{"sku":"1211","req":1},{"sku":"1116","req":1}], "vencimiento":1, "precio":4700, "tipo":"cocina"},</v>
      </c>
    </row>
    <row r="910" customFormat="false" ht="13" hidden="false" customHeight="false" outlineLevel="0" collapsed="false">
      <c r="A910" s="16" t="n">
        <v>13</v>
      </c>
      <c r="B910" s="0" t="n">
        <f aca="false">IFERROR(__xludf.dummyfunction("""COMPUTED_VALUE"""),10004)</f>
        <v>10004</v>
      </c>
      <c r="C910" s="24" t="n">
        <f aca="false">IFERROR(__xludf.dummyfunction("""COMPUTED_VALUE"""),10)</f>
        <v>10</v>
      </c>
      <c r="D910" s="0" t="n">
        <f aca="false">IFERROR(__xludf.dummyfunction("""COMPUTED_VALUE"""),1)</f>
        <v>1</v>
      </c>
      <c r="E910" s="0" t="n">
        <f aca="false">IFERROR(__xludf.dummyfunction("""COMPUTED_VALUE"""),10)</f>
        <v>10</v>
      </c>
      <c r="F910" s="0" t="str">
        <f aca="false">IFERROR(__xludf.dummyfunction("filter(Formulas!$C:$C,Formulas!$A:$A=B910)"),"""formula"":[{""sku"":""1201"",""req"":1},{""sku"":""1106"",""req"":4},{""sku"":""1210"",""req"":1},{""sku"":""1211"",""req"":1},{""sku"":""1116"",""req"":1}]")</f>
        <v>"formula":[{"sku":"1201","req":1},{"sku":"1106","req":4},{"sku":"1210","req":1},{"sku":"1211","req":1},{"sku":"1116","req":1}]</v>
      </c>
      <c r="G910" s="0" t="n">
        <f aca="false">IFERROR(__xludf.dummyfunction("""COMPUTED_VALUE"""),1)</f>
        <v>1</v>
      </c>
      <c r="H910" s="21" t="str">
        <f aca="false">IFERROR(__xludf.dummyfunction("IF(D910,filter(Productos!AC:AC,Productos!A:A=B910),)"),"cocina")</f>
        <v>cocina</v>
      </c>
      <c r="I910" s="24" t="n">
        <f aca="false">IFERROR(__xludf.dummyfunction("""COMPUTED_VALUE"""),4700)</f>
        <v>4700</v>
      </c>
      <c r="K910" s="0" t="str">
        <f aca="false">IF(D910,"{""sku"":"""&amp;B910&amp;""", ""costo"":"&amp;C910&amp;", ""grupo"":"""&amp;A910&amp;""", ""lote"":"&amp;D910&amp;", ""tiempo"":"&amp;E910&amp;", "&amp;F910&amp;", ""vencimiento"":"&amp;G910&amp;IF(I910,", ""precio"":"&amp;I910,)&amp;", ""tipo"":"""&amp;H910&amp;"""},",)</f>
        <v>{"sku":"10004", "costo":10, "grupo":"13", "lote":1, "tiempo":10, "formula":[{"sku":"1201","req":1},{"sku":"1106","req":4},{"sku":"1210","req":1},{"sku":"1211","req":1},{"sku":"1116","req":1}], "vencimiento":1, "precio":4700, "tipo":"cocina"},</v>
      </c>
    </row>
    <row r="911" customFormat="false" ht="13" hidden="false" customHeight="false" outlineLevel="0" collapsed="false">
      <c r="A911" s="17" t="n">
        <v>13</v>
      </c>
      <c r="B911" s="0" t="n">
        <f aca="false">IFERROR(__xludf.dummyfunction("""COMPUTED_VALUE"""),10005)</f>
        <v>10005</v>
      </c>
      <c r="C911" s="24" t="n">
        <f aca="false">IFERROR(__xludf.dummyfunction("""COMPUTED_VALUE"""),10)</f>
        <v>10</v>
      </c>
      <c r="D911" s="0" t="n">
        <f aca="false">IFERROR(__xludf.dummyfunction("""COMPUTED_VALUE"""),1)</f>
        <v>1</v>
      </c>
      <c r="E911" s="0" t="n">
        <f aca="false">IFERROR(__xludf.dummyfunction("""COMPUTED_VALUE"""),20)</f>
        <v>20</v>
      </c>
      <c r="F911" s="0" t="str">
        <f aca="false">IFERROR(__xludf.dummyfunction("filter(Formulas!$C:$C,Formulas!$A:$A=B911)"),"""formula"":[{""sku"":""1201"",""req"":1},{""sku"":""1106"",""req"":4},{""sku"":""1013"",""req"":5},{""sku"":""1210"",""req"":1},{""sku"":""1116"",""req"":1}]")</f>
        <v>"formula":[{"sku":"1201","req":1},{"sku":"1106","req":4},{"sku":"1013","req":5},{"sku":"1210","req":1},{"sku":"1116","req":1}]</v>
      </c>
      <c r="G911" s="0" t="n">
        <f aca="false">IFERROR(__xludf.dummyfunction("""COMPUTED_VALUE"""),1)</f>
        <v>1</v>
      </c>
      <c r="H911" s="21" t="str">
        <f aca="false">IFERROR(__xludf.dummyfunction("IF(D911,filter(Productos!AC:AC,Productos!A:A=B911),)"),"cocina")</f>
        <v>cocina</v>
      </c>
      <c r="I911" s="24" t="n">
        <f aca="false">IFERROR(__xludf.dummyfunction("""COMPUTED_VALUE"""),4700)</f>
        <v>4700</v>
      </c>
      <c r="K911" s="0" t="str">
        <f aca="false">IF(D911,"{""sku"":"""&amp;B911&amp;""", ""costo"":"&amp;C911&amp;", ""grupo"":"""&amp;A911&amp;""", ""lote"":"&amp;D911&amp;", ""tiempo"":"&amp;E911&amp;", "&amp;F911&amp;", ""vencimiento"":"&amp;G911&amp;IF(I911,", ""precio"":"&amp;I911,)&amp;", ""tipo"":"""&amp;H911&amp;"""},",)</f>
        <v>{"sku":"10005", "costo":10, "grupo":"13", "lote":1, "tiempo":20, "formula":[{"sku":"1201","req":1},{"sku":"1106","req":4},{"sku":"1013","req":5},{"sku":"1210","req":1},{"sku":"1116","req":1}], "vencimiento":1, "precio":4700, "tipo":"cocina"},</v>
      </c>
    </row>
    <row r="912" customFormat="false" ht="13" hidden="false" customHeight="false" outlineLevel="0" collapsed="false">
      <c r="A912" s="16" t="n">
        <v>13</v>
      </c>
      <c r="B912" s="0" t="n">
        <f aca="false">IFERROR(__xludf.dummyfunction("""COMPUTED_VALUE"""),10006)</f>
        <v>10006</v>
      </c>
      <c r="C912" s="24" t="n">
        <f aca="false">IFERROR(__xludf.dummyfunction("""COMPUTED_VALUE"""),10)</f>
        <v>10</v>
      </c>
      <c r="D912" s="0" t="n">
        <f aca="false">IFERROR(__xludf.dummyfunction("""COMPUTED_VALUE"""),1)</f>
        <v>1</v>
      </c>
      <c r="E912" s="0" t="n">
        <f aca="false">IFERROR(__xludf.dummyfunction("""COMPUTED_VALUE"""),10)</f>
        <v>10</v>
      </c>
      <c r="F912" s="0" t="str">
        <f aca="false">IFERROR(__xludf.dummyfunction("filter(Formulas!$C:$C,Formulas!$A:$A=B912)"),"""formula"":[{""sku"":""1201"",""req"":1},{""sku"":""1210"",""req"":1},{""sku"":""1107"",""req"":1},{""sku"":""1211"",""req"":1},{""sku"":""1116"",""req"":1}]")</f>
        <v>"formula":[{"sku":"1201","req":1},{"sku":"1210","req":1},{"sku":"1107","req":1},{"sku":"1211","req":1},{"sku":"1116","req":1}]</v>
      </c>
      <c r="G912" s="0" t="n">
        <f aca="false">IFERROR(__xludf.dummyfunction("""COMPUTED_VALUE"""),1)</f>
        <v>1</v>
      </c>
      <c r="H912" s="21" t="str">
        <f aca="false">IFERROR(__xludf.dummyfunction("IF(D912,filter(Productos!AC:AC,Productos!A:A=B912),)"),"cocina")</f>
        <v>cocina</v>
      </c>
      <c r="I912" s="24" t="n">
        <f aca="false">IFERROR(__xludf.dummyfunction("""COMPUTED_VALUE"""),4900)</f>
        <v>4900</v>
      </c>
      <c r="K912" s="0" t="str">
        <f aca="false">IF(D912,"{""sku"":"""&amp;B912&amp;""", ""costo"":"&amp;C912&amp;", ""grupo"":"""&amp;A912&amp;""", ""lote"":"&amp;D912&amp;", ""tiempo"":"&amp;E912&amp;", "&amp;F912&amp;", ""vencimiento"":"&amp;G912&amp;IF(I912,", ""precio"":"&amp;I912,)&amp;", ""tipo"":"""&amp;H912&amp;"""},",)</f>
        <v>{"sku":"10006", "costo":10, "grupo":"13", "lote":1, "tiempo":10, "formula":[{"sku":"1201","req":1},{"sku":"1210","req":1},{"sku":"1107","req":1},{"sku":"1211","req":1},{"sku":"1116","req":1}], "vencimiento":1, "precio":4900, "tipo":"cocina"},</v>
      </c>
    </row>
    <row r="913" customFormat="false" ht="13" hidden="false" customHeight="false" outlineLevel="0" collapsed="false">
      <c r="A913" s="17" t="n">
        <v>13</v>
      </c>
      <c r="B913" s="0" t="n">
        <f aca="false">IFERROR(__xludf.dummyfunction("""COMPUTED_VALUE"""),10007)</f>
        <v>10007</v>
      </c>
      <c r="C913" s="24" t="n">
        <f aca="false">IFERROR(__xludf.dummyfunction("""COMPUTED_VALUE"""),10)</f>
        <v>10</v>
      </c>
      <c r="D913" s="0" t="n">
        <f aca="false">IFERROR(__xludf.dummyfunction("""COMPUTED_VALUE"""),1)</f>
        <v>1</v>
      </c>
      <c r="E913" s="0" t="n">
        <f aca="false">IFERROR(__xludf.dummyfunction("""COMPUTED_VALUE"""),20)</f>
        <v>20</v>
      </c>
      <c r="F913" s="0" t="str">
        <f aca="false">IFERROR(__xludf.dummyfunction("filter(Formulas!$C:$C,Formulas!$A:$A=B913)"),"""formula"":[{""sku"":""1201"",""req"":1},{""sku"":""1013"",""req"":5},{""sku"":""1210"",""req"":1},{""sku"":""1107"",""req"":1},{""sku"":""1116"",""req"":1}]")</f>
        <v>"formula":[{"sku":"1201","req":1},{"sku":"1013","req":5},{"sku":"1210","req":1},{"sku":"1107","req":1},{"sku":"1116","req":1}]</v>
      </c>
      <c r="G913" s="0" t="n">
        <f aca="false">IFERROR(__xludf.dummyfunction("""COMPUTED_VALUE"""),1)</f>
        <v>1</v>
      </c>
      <c r="H913" s="21" t="str">
        <f aca="false">IFERROR(__xludf.dummyfunction("IF(D913,filter(Productos!AC:AC,Productos!A:A=B913),)"),"cocina")</f>
        <v>cocina</v>
      </c>
      <c r="I913" s="24" t="n">
        <f aca="false">IFERROR(__xludf.dummyfunction("""COMPUTED_VALUE"""),4900)</f>
        <v>4900</v>
      </c>
      <c r="K913" s="0" t="str">
        <f aca="false">IF(D913,"{""sku"":"""&amp;B913&amp;""", ""costo"":"&amp;C913&amp;", ""grupo"":"""&amp;A913&amp;""", ""lote"":"&amp;D913&amp;", ""tiempo"":"&amp;E913&amp;", "&amp;F913&amp;", ""vencimiento"":"&amp;G913&amp;IF(I913,", ""precio"":"&amp;I913,)&amp;", ""tipo"":"""&amp;H913&amp;"""},",)</f>
        <v>{"sku":"10007", "costo":10, "grupo":"13", "lote":1, "tiempo":20, "formula":[{"sku":"1201","req":1},{"sku":"1013","req":5},{"sku":"1210","req":1},{"sku":"1107","req":1},{"sku":"1116","req":1}], "vencimiento":1, "precio":4900, "tipo":"cocina"},</v>
      </c>
    </row>
    <row r="914" customFormat="false" ht="13" hidden="false" customHeight="false" outlineLevel="0" collapsed="false">
      <c r="A914" s="16" t="n">
        <v>13</v>
      </c>
      <c r="B914" s="0" t="n">
        <f aca="false">IFERROR(__xludf.dummyfunction("""COMPUTED_VALUE"""),10008)</f>
        <v>10008</v>
      </c>
      <c r="C914" s="24" t="n">
        <f aca="false">IFERROR(__xludf.dummyfunction("""COMPUTED_VALUE"""),10)</f>
        <v>10</v>
      </c>
      <c r="D914" s="0" t="n">
        <f aca="false">IFERROR(__xludf.dummyfunction("""COMPUTED_VALUE"""),1)</f>
        <v>1</v>
      </c>
      <c r="E914" s="0" t="n">
        <f aca="false">IFERROR(__xludf.dummyfunction("""COMPUTED_VALUE"""),20)</f>
        <v>20</v>
      </c>
      <c r="F914" s="0" t="str">
        <f aca="false">IFERROR(__xludf.dummyfunction("filter(Formulas!$C:$C,Formulas!$A:$A=B914)"),"""formula"":[{""sku"":""1201"",""req"":1},{""sku"":""1109"",""req"":1},{""sku"":""1210"",""req"":1},{""sku"":""1211"",""req"":1},{""sku"":""1116"",""req"":1}]")</f>
        <v>"formula":[{"sku":"1201","req":1},{"sku":"1109","req":1},{"sku":"1210","req":1},{"sku":"1211","req":1},{"sku":"1116","req":1}]</v>
      </c>
      <c r="G914" s="0" t="n">
        <f aca="false">IFERROR(__xludf.dummyfunction("""COMPUTED_VALUE"""),1)</f>
        <v>1</v>
      </c>
      <c r="H914" s="21" t="str">
        <f aca="false">IFERROR(__xludf.dummyfunction("IF(D914,filter(Productos!AC:AC,Productos!A:A=B914),)"),"cocina")</f>
        <v>cocina</v>
      </c>
      <c r="I914" s="24" t="n">
        <f aca="false">IFERROR(__xludf.dummyfunction("""COMPUTED_VALUE"""),4900)</f>
        <v>4900</v>
      </c>
      <c r="K914" s="0" t="str">
        <f aca="false">IF(D914,"{""sku"":"""&amp;B914&amp;""", ""costo"":"&amp;C914&amp;", ""grupo"":"""&amp;A914&amp;""", ""lote"":"&amp;D914&amp;", ""tiempo"":"&amp;E914&amp;", "&amp;F914&amp;", ""vencimiento"":"&amp;G914&amp;IF(I914,", ""precio"":"&amp;I914,)&amp;", ""tipo"":"""&amp;H914&amp;"""},",)</f>
        <v>{"sku":"10008", "costo":10, "grupo":"13", "lote":1, "tiempo":20, "formula":[{"sku":"1201","req":1},{"sku":"1109","req":1},{"sku":"1210","req":1},{"sku":"1211","req":1},{"sku":"1116","req":1}], "vencimiento":1, "precio":4900, "tipo":"cocina"},</v>
      </c>
    </row>
    <row r="915" customFormat="false" ht="13" hidden="false" customHeight="false" outlineLevel="0" collapsed="false">
      <c r="A915" s="17" t="n">
        <v>13</v>
      </c>
      <c r="B915" s="0" t="n">
        <f aca="false">IFERROR(__xludf.dummyfunction("""COMPUTED_VALUE"""),10009)</f>
        <v>10009</v>
      </c>
      <c r="C915" s="24" t="n">
        <f aca="false">IFERROR(__xludf.dummyfunction("""COMPUTED_VALUE"""),10)</f>
        <v>10</v>
      </c>
      <c r="D915" s="0" t="n">
        <f aca="false">IFERROR(__xludf.dummyfunction("""COMPUTED_VALUE"""),1)</f>
        <v>1</v>
      </c>
      <c r="E915" s="0" t="n">
        <f aca="false">IFERROR(__xludf.dummyfunction("""COMPUTED_VALUE"""),30)</f>
        <v>30</v>
      </c>
      <c r="F915" s="0" t="str">
        <f aca="false">IFERROR(__xludf.dummyfunction("filter(Formulas!$C:$C,Formulas!$A:$A=B915)"),"""formula"":[{""sku"":""1201"",""req"":1},{""sku"":""1109"",""req"":1},{""sku"":""1013"",""req"":5},{""sku"":""1210"",""req"":1},{""sku"":""1116"",""req"":1}]")</f>
        <v>"formula":[{"sku":"1201","req":1},{"sku":"1109","req":1},{"sku":"1013","req":5},{"sku":"1210","req":1},{"sku":"1116","req":1}]</v>
      </c>
      <c r="G915" s="0" t="n">
        <f aca="false">IFERROR(__xludf.dummyfunction("""COMPUTED_VALUE"""),1)</f>
        <v>1</v>
      </c>
      <c r="H915" s="21" t="str">
        <f aca="false">IFERROR(__xludf.dummyfunction("IF(D915,filter(Productos!AC:AC,Productos!A:A=B915),)"),"cocina")</f>
        <v>cocina</v>
      </c>
      <c r="I915" s="24" t="n">
        <f aca="false">IFERROR(__xludf.dummyfunction("""COMPUTED_VALUE"""),4900)</f>
        <v>4900</v>
      </c>
      <c r="K915" s="0" t="str">
        <f aca="false">IF(D915,"{""sku"":"""&amp;B915&amp;""", ""costo"":"&amp;C915&amp;", ""grupo"":"""&amp;A915&amp;""", ""lote"":"&amp;D915&amp;", ""tiempo"":"&amp;E915&amp;", "&amp;F915&amp;", ""vencimiento"":"&amp;G915&amp;IF(I915,", ""precio"":"&amp;I915,)&amp;", ""tipo"":"""&amp;H915&amp;"""},",)</f>
        <v>{"sku":"10009", "costo":10, "grupo":"13", "lote":1, "tiempo":30, "formula":[{"sku":"1201","req":1},{"sku":"1109","req":1},{"sku":"1013","req":5},{"sku":"1210","req":1},{"sku":"1116","req":1}], "vencimiento":1, "precio":4900, "tipo":"cocina"},</v>
      </c>
    </row>
    <row r="916" customFormat="false" ht="13" hidden="false" customHeight="false" outlineLevel="0" collapsed="false">
      <c r="A916" s="16" t="n">
        <v>13</v>
      </c>
      <c r="B916" s="0" t="n">
        <f aca="false">IFERROR(__xludf.dummyfunction("""COMPUTED_VALUE"""),10010)</f>
        <v>10010</v>
      </c>
      <c r="C916" s="24" t="n">
        <f aca="false">IFERROR(__xludf.dummyfunction("""COMPUTED_VALUE"""),10)</f>
        <v>10</v>
      </c>
      <c r="D916" s="0" t="n">
        <f aca="false">IFERROR(__xludf.dummyfunction("""COMPUTED_VALUE"""),1)</f>
        <v>1</v>
      </c>
      <c r="E916" s="0" t="n">
        <f aca="false">IFERROR(__xludf.dummyfunction("""COMPUTED_VALUE"""),10)</f>
        <v>10</v>
      </c>
      <c r="F916" s="0" t="str">
        <f aca="false">IFERROR(__xludf.dummyfunction("filter(Formulas!$C:$C,Formulas!$A:$A=B916)"),"""formula"":[{""sku"":""1201"",""req"":1},{""sku"":""1106"",""req"":4},{""sku"":""1210"",""req"":1},{""sku"":""1110"",""req"":1},{""sku"":""1116"",""req"":1}]")</f>
        <v>"formula":[{"sku":"1201","req":1},{"sku":"1106","req":4},{"sku":"1210","req":1},{"sku":"1110","req":1},{"sku":"1116","req":1}]</v>
      </c>
      <c r="G916" s="0" t="n">
        <f aca="false">IFERROR(__xludf.dummyfunction("""COMPUTED_VALUE"""),1)</f>
        <v>1</v>
      </c>
      <c r="H916" s="21" t="str">
        <f aca="false">IFERROR(__xludf.dummyfunction("IF(D916,filter(Productos!AC:AC,Productos!A:A=B916),)"),"cocina")</f>
        <v>cocina</v>
      </c>
      <c r="I916" s="24" t="n">
        <f aca="false">IFERROR(__xludf.dummyfunction("""COMPUTED_VALUE"""),4900)</f>
        <v>4900</v>
      </c>
      <c r="K916" s="0" t="str">
        <f aca="false">IF(D916,"{""sku"":"""&amp;B916&amp;""", ""costo"":"&amp;C916&amp;", ""grupo"":"""&amp;A916&amp;""", ""lote"":"&amp;D916&amp;", ""tiempo"":"&amp;E916&amp;", "&amp;F916&amp;", ""vencimiento"":"&amp;G916&amp;IF(I916,", ""precio"":"&amp;I916,)&amp;", ""tipo"":"""&amp;H916&amp;"""},",)</f>
        <v>{"sku":"10010", "costo":10, "grupo":"13", "lote":1, "tiempo":10, "formula":[{"sku":"1201","req":1},{"sku":"1106","req":4},{"sku":"1210","req":1},{"sku":"1110","req":1},{"sku":"1116","req":1}], "vencimiento":1, "precio":4900, "tipo":"cocina"},</v>
      </c>
    </row>
    <row r="917" customFormat="false" ht="13" hidden="false" customHeight="false" outlineLevel="0" collapsed="false">
      <c r="A917" s="17" t="n">
        <v>13</v>
      </c>
      <c r="B917" s="0" t="n">
        <f aca="false">IFERROR(__xludf.dummyfunction("""COMPUTED_VALUE"""),10011)</f>
        <v>10011</v>
      </c>
      <c r="C917" s="24" t="n">
        <f aca="false">IFERROR(__xludf.dummyfunction("""COMPUTED_VALUE"""),10)</f>
        <v>10</v>
      </c>
      <c r="D917" s="0" t="n">
        <f aca="false">IFERROR(__xludf.dummyfunction("""COMPUTED_VALUE"""),1)</f>
        <v>1</v>
      </c>
      <c r="E917" s="0" t="n">
        <f aca="false">IFERROR(__xludf.dummyfunction("""COMPUTED_VALUE"""),20)</f>
        <v>20</v>
      </c>
      <c r="F917" s="0" t="str">
        <f aca="false">IFERROR(__xludf.dummyfunction("filter(Formulas!$C:$C,Formulas!$A:$A=B917)"),"""formula"":[{""sku"":""1201"",""req"":1},{""sku"":""1106"",""req"":4},{""sku"":""1114"",""req"":1},{""sku"":""1110"",""req"":1},{""sku"":""1112"",""req"":1},{""sku"":""1116"",""req"":1}]")</f>
        <v>"formula":[{"sku":"1201","req":1},{"sku":"1106","req":4},{"sku":"1114","req":1},{"sku":"1110","req":1},{"sku":"1112","req":1},{"sku":"1116","req":1}]</v>
      </c>
      <c r="G917" s="0" t="n">
        <f aca="false">IFERROR(__xludf.dummyfunction("""COMPUTED_VALUE"""),1)</f>
        <v>1</v>
      </c>
      <c r="H917" s="21" t="str">
        <f aca="false">IFERROR(__xludf.dummyfunction("IF(D917,filter(Productos!AC:AC,Productos!A:A=B917),)"),"cocina")</f>
        <v>cocina</v>
      </c>
      <c r="I917" s="24" t="n">
        <f aca="false">IFERROR(__xludf.dummyfunction("""COMPUTED_VALUE"""),5700)</f>
        <v>5700</v>
      </c>
      <c r="K917" s="0" t="str">
        <f aca="false">IF(D917,"{""sku"":"""&amp;B917&amp;""", ""costo"":"&amp;C917&amp;", ""grupo"":"""&amp;A917&amp;""", ""lote"":"&amp;D917&amp;", ""tiempo"":"&amp;E917&amp;", "&amp;F917&amp;", ""vencimiento"":"&amp;G917&amp;IF(I917,", ""precio"":"&amp;I917,)&amp;", ""tipo"":"""&amp;H917&amp;"""},",)</f>
        <v>{"sku":"10011", "costo":10, "grupo":"13", "lote":1, "tiempo":20, "formula":[{"sku":"1201","req":1},{"sku":"1106","req":4},{"sku":"1114","req":1},{"sku":"1110","req":1},{"sku":"1112","req":1},{"sku":"1116","req":1}], "vencimiento":1, "precio":5700, "tipo":"cocina"},</v>
      </c>
    </row>
    <row r="918" customFormat="false" ht="13" hidden="false" customHeight="false" outlineLevel="0" collapsed="false">
      <c r="A918" s="16" t="n">
        <v>13</v>
      </c>
      <c r="B918" s="0" t="n">
        <f aca="false">IFERROR(__xludf.dummyfunction("""COMPUTED_VALUE"""),10012)</f>
        <v>10012</v>
      </c>
      <c r="C918" s="24" t="n">
        <f aca="false">IFERROR(__xludf.dummyfunction("""COMPUTED_VALUE"""),10)</f>
        <v>10</v>
      </c>
      <c r="D918" s="0" t="n">
        <f aca="false">IFERROR(__xludf.dummyfunction("""COMPUTED_VALUE"""),1)</f>
        <v>1</v>
      </c>
      <c r="E918" s="0" t="n">
        <f aca="false">IFERROR(__xludf.dummyfunction("""COMPUTED_VALUE"""),20)</f>
        <v>20</v>
      </c>
      <c r="F918" s="0" t="str">
        <f aca="false">IFERROR(__xludf.dummyfunction("filter(Formulas!$C:$C,Formulas!$A:$A=B918)"),"""formula"":[{""sku"":""1201"",""req"":1},{""sku"":""1106"",""req"":4},{""sku"":""1110"",""req"":1},{""sku"":""1112"",""req"":1},{""sku"":""1108"",""req"":1},{""sku"":""1116"",""req"":1}]")</f>
        <v>"formula":[{"sku":"1201","req":1},{"sku":"1106","req":4},{"sku":"1110","req":1},{"sku":"1112","req":1},{"sku":"1108","req":1},{"sku":"1116","req":1}]</v>
      </c>
      <c r="G918" s="0" t="n">
        <f aca="false">IFERROR(__xludf.dummyfunction("""COMPUTED_VALUE"""),1)</f>
        <v>1</v>
      </c>
      <c r="H918" s="21" t="str">
        <f aca="false">IFERROR(__xludf.dummyfunction("IF(D918,filter(Productos!AC:AC,Productos!A:A=B918),)"),"cocina")</f>
        <v>cocina</v>
      </c>
      <c r="I918" s="24" t="n">
        <f aca="false">IFERROR(__xludf.dummyfunction("""COMPUTED_VALUE"""),5700)</f>
        <v>5700</v>
      </c>
      <c r="K918" s="0" t="str">
        <f aca="false">IF(D918,"{""sku"":"""&amp;B918&amp;""", ""costo"":"&amp;C918&amp;", ""grupo"":"""&amp;A918&amp;""", ""lote"":"&amp;D918&amp;", ""tiempo"":"&amp;E918&amp;", "&amp;F918&amp;", ""vencimiento"":"&amp;G918&amp;IF(I918,", ""precio"":"&amp;I918,)&amp;", ""tipo"":"""&amp;H918&amp;"""},",)</f>
        <v>{"sku":"10012", "costo":10, "grupo":"13", "lote":1, "tiempo":20, "formula":[{"sku":"1201","req":1},{"sku":"1106","req":4},{"sku":"1110","req":1},{"sku":"1112","req":1},{"sku":"1108","req":1},{"sku":"1116","req":1}], "vencimiento":1, "precio":5700, "tipo":"cocina"},</v>
      </c>
    </row>
    <row r="919" customFormat="false" ht="13" hidden="false" customHeight="false" outlineLevel="0" collapsed="false">
      <c r="A919" s="17" t="n">
        <v>13</v>
      </c>
      <c r="B919" s="0" t="n">
        <f aca="false">IFERROR(__xludf.dummyfunction("""COMPUTED_VALUE"""),10013)</f>
        <v>10013</v>
      </c>
      <c r="C919" s="24" t="n">
        <f aca="false">IFERROR(__xludf.dummyfunction("""COMPUTED_VALUE"""),10)</f>
        <v>10</v>
      </c>
      <c r="D919" s="0" t="n">
        <f aca="false">IFERROR(__xludf.dummyfunction("""COMPUTED_VALUE"""),1)</f>
        <v>1</v>
      </c>
      <c r="E919" s="0" t="n">
        <f aca="false">IFERROR(__xludf.dummyfunction("""COMPUTED_VALUE"""),10)</f>
        <v>10</v>
      </c>
      <c r="F919" s="0" t="str">
        <f aca="false">IFERROR(__xludf.dummyfunction("filter(Formulas!$C:$C,Formulas!$A:$A=B919)"),"""formula"":[{""sku"":""1201"",""req"":1},{""sku"":""1106"",""req"":4},{""sku"":""1110"",""req"":1},{""sku"":""1112"",""req"":1},{""sku"":""1116"",""req"":1}]")</f>
        <v>"formula":[{"sku":"1201","req":1},{"sku":"1106","req":4},{"sku":"1110","req":1},{"sku":"1112","req":1},{"sku":"1116","req":1}]</v>
      </c>
      <c r="G919" s="0" t="n">
        <f aca="false">IFERROR(__xludf.dummyfunction("""COMPUTED_VALUE"""),1)</f>
        <v>1</v>
      </c>
      <c r="H919" s="21" t="str">
        <f aca="false">IFERROR(__xludf.dummyfunction("IF(D919,filter(Productos!AC:AC,Productos!A:A=B919),)"),"cocina")</f>
        <v>cocina</v>
      </c>
      <c r="I919" s="24" t="n">
        <f aca="false">IFERROR(__xludf.dummyfunction("""COMPUTED_VALUE"""),5700)</f>
        <v>5700</v>
      </c>
      <c r="K919" s="0" t="str">
        <f aca="false">IF(D919,"{""sku"":"""&amp;B919&amp;""", ""costo"":"&amp;C919&amp;", ""grupo"":"""&amp;A919&amp;""", ""lote"":"&amp;D919&amp;", ""tiempo"":"&amp;E919&amp;", "&amp;F919&amp;", ""vencimiento"":"&amp;G919&amp;IF(I919,", ""precio"":"&amp;I919,)&amp;", ""tipo"":"""&amp;H919&amp;"""},",)</f>
        <v>{"sku":"10013", "costo":10, "grupo":"13", "lote":1, "tiempo":10, "formula":[{"sku":"1201","req":1},{"sku":"1106","req":4},{"sku":"1110","req":1},{"sku":"1112","req":1},{"sku":"1116","req":1}], "vencimiento":1, "precio":5700, "tipo":"cocina"},</v>
      </c>
    </row>
    <row r="920" customFormat="false" ht="13" hidden="false" customHeight="false" outlineLevel="0" collapsed="false">
      <c r="A920" s="16" t="n">
        <v>13</v>
      </c>
      <c r="B920" s="0" t="n">
        <f aca="false">IFERROR(__xludf.dummyfunction("""COMPUTED_VALUE"""),10014)</f>
        <v>10014</v>
      </c>
      <c r="C920" s="24" t="n">
        <f aca="false">IFERROR(__xludf.dummyfunction("""COMPUTED_VALUE"""),10)</f>
        <v>10</v>
      </c>
      <c r="D920" s="0" t="n">
        <f aca="false">IFERROR(__xludf.dummyfunction("""COMPUTED_VALUE"""),1)</f>
        <v>1</v>
      </c>
      <c r="E920" s="0" t="n">
        <f aca="false">IFERROR(__xludf.dummyfunction("""COMPUTED_VALUE"""),10)</f>
        <v>10</v>
      </c>
      <c r="F920" s="0" t="str">
        <f aca="false">IFERROR(__xludf.dummyfunction("filter(Formulas!$C:$C,Formulas!$A:$A=B920)"),"""formula"":[{""sku"":""1201"",""req"":1},{""sku"":""1105"",""req"":1},{""sku"":""1110"",""req"":1},{""sku"":""1112"",""req"":1},{""sku"":""1116"",""req"":1}]")</f>
        <v>"formula":[{"sku":"1201","req":1},{"sku":"1105","req":1},{"sku":"1110","req":1},{"sku":"1112","req":1},{"sku":"1116","req":1}]</v>
      </c>
      <c r="G920" s="0" t="n">
        <f aca="false">IFERROR(__xludf.dummyfunction("""COMPUTED_VALUE"""),1)</f>
        <v>1</v>
      </c>
      <c r="H920" s="21" t="str">
        <f aca="false">IFERROR(__xludf.dummyfunction("IF(D920,filter(Productos!AC:AC,Productos!A:A=B920),)"),"cocina")</f>
        <v>cocina</v>
      </c>
      <c r="I920" s="24" t="n">
        <f aca="false">IFERROR(__xludf.dummyfunction("""COMPUTED_VALUE"""),4900)</f>
        <v>4900</v>
      </c>
      <c r="K920" s="0" t="str">
        <f aca="false">IF(D920,"{""sku"":"""&amp;B920&amp;""", ""costo"":"&amp;C920&amp;", ""grupo"":"""&amp;A920&amp;""", ""lote"":"&amp;D920&amp;", ""tiempo"":"&amp;E920&amp;", "&amp;F920&amp;", ""vencimiento"":"&amp;G920&amp;IF(I920,", ""precio"":"&amp;I920,)&amp;", ""tipo"":"""&amp;H920&amp;"""},",)</f>
        <v>{"sku":"10014", "costo":10, "grupo":"13", "lote":1, "tiempo":10, "formula":[{"sku":"1201","req":1},{"sku":"1105","req":1},{"sku":"1110","req":1},{"sku":"1112","req":1},{"sku":"1116","req":1}], "vencimiento":1, "precio":4900, "tipo":"cocina"},</v>
      </c>
    </row>
    <row r="921" customFormat="false" ht="13" hidden="false" customHeight="false" outlineLevel="0" collapsed="false">
      <c r="A921" s="17" t="n">
        <v>13</v>
      </c>
      <c r="B921" s="0" t="n">
        <f aca="false">IFERROR(__xludf.dummyfunction("""COMPUTED_VALUE"""),10015)</f>
        <v>10015</v>
      </c>
      <c r="C921" s="24" t="n">
        <f aca="false">IFERROR(__xludf.dummyfunction("""COMPUTED_VALUE"""),10)</f>
        <v>10</v>
      </c>
      <c r="D921" s="0" t="n">
        <f aca="false">IFERROR(__xludf.dummyfunction("""COMPUTED_VALUE"""),1)</f>
        <v>1</v>
      </c>
      <c r="E921" s="0" t="n">
        <f aca="false">IFERROR(__xludf.dummyfunction("""COMPUTED_VALUE"""),20)</f>
        <v>20</v>
      </c>
      <c r="F921" s="0" t="str">
        <f aca="false">IFERROR(__xludf.dummyfunction("filter(Formulas!$C:$C,Formulas!$A:$A=B921)"),"""formula"":[{""sku"":""1201"",""req"":1},{""sku"":""1109"",""req"":1},{""sku"":""1115"",""req"":1},{""sku"":""1110"",""req"":1},{""sku"":""1112"",""req"":1},{""sku"":""1116"",""req"":1}]")</f>
        <v>"formula":[{"sku":"1201","req":1},{"sku":"1109","req":1},{"sku":"1115","req":1},{"sku":"1110","req":1},{"sku":"1112","req":1},{"sku":"1116","req":1}]</v>
      </c>
      <c r="G921" s="0" t="n">
        <f aca="false">IFERROR(__xludf.dummyfunction("""COMPUTED_VALUE"""),1)</f>
        <v>1</v>
      </c>
      <c r="H921" s="21" t="str">
        <f aca="false">IFERROR(__xludf.dummyfunction("IF(D921,filter(Productos!AC:AC,Productos!A:A=B921),)"),"cocina")</f>
        <v>cocina</v>
      </c>
      <c r="I921" s="24" t="n">
        <f aca="false">IFERROR(__xludf.dummyfunction("""COMPUTED_VALUE"""),5700)</f>
        <v>5700</v>
      </c>
      <c r="K921" s="0" t="str">
        <f aca="false">IF(D921,"{""sku"":"""&amp;B921&amp;""", ""costo"":"&amp;C921&amp;", ""grupo"":"""&amp;A921&amp;""", ""lote"":"&amp;D921&amp;", ""tiempo"":"&amp;E921&amp;", "&amp;F921&amp;", ""vencimiento"":"&amp;G921&amp;IF(I921,", ""precio"":"&amp;I921,)&amp;", ""tipo"":"""&amp;H921&amp;"""},",)</f>
        <v>{"sku":"10015", "costo":10, "grupo":"13", "lote":1, "tiempo":20, "formula":[{"sku":"1201","req":1},{"sku":"1109","req":1},{"sku":"1115","req":1},{"sku":"1110","req":1},{"sku":"1112","req":1},{"sku":"1116","req":1}], "vencimiento":1, "precio":5700, "tipo":"cocina"},</v>
      </c>
    </row>
    <row r="922" customFormat="false" ht="13" hidden="false" customHeight="false" outlineLevel="0" collapsed="false">
      <c r="A922" s="16" t="n">
        <v>13</v>
      </c>
      <c r="B922" s="0" t="n">
        <f aca="false">IFERROR(__xludf.dummyfunction("""COMPUTED_VALUE"""),10016)</f>
        <v>10016</v>
      </c>
      <c r="C922" s="24" t="n">
        <f aca="false">IFERROR(__xludf.dummyfunction("""COMPUTED_VALUE"""),10)</f>
        <v>10</v>
      </c>
      <c r="D922" s="0" t="n">
        <f aca="false">IFERROR(__xludf.dummyfunction("""COMPUTED_VALUE"""),1)</f>
        <v>1</v>
      </c>
      <c r="E922" s="0" t="n">
        <f aca="false">IFERROR(__xludf.dummyfunction("""COMPUTED_VALUE"""),20)</f>
        <v>20</v>
      </c>
      <c r="F922" s="0" t="str">
        <f aca="false">IFERROR(__xludf.dummyfunction("filter(Formulas!$C:$C,Formulas!$A:$A=B922)"),"""formula"":[{""sku"":""1201"",""req"":1},{""sku"":""1106"",""req"":4},{""sku"":""1110"",""req"":1},{""sku"":""1112"",""req"":1},{""sku"":""1107"",""req"":1},{""sku"":""1116"",""req"":1}]")</f>
        <v>"formula":[{"sku":"1201","req":1},{"sku":"1106","req":4},{"sku":"1110","req":1},{"sku":"1112","req":1},{"sku":"1107","req":1},{"sku":"1116","req":1}]</v>
      </c>
      <c r="G922" s="0" t="n">
        <f aca="false">IFERROR(__xludf.dummyfunction("""COMPUTED_VALUE"""),1)</f>
        <v>1</v>
      </c>
      <c r="H922" s="21" t="str">
        <f aca="false">IFERROR(__xludf.dummyfunction("IF(D922,filter(Productos!AC:AC,Productos!A:A=B922),)"),"cocina")</f>
        <v>cocina</v>
      </c>
      <c r="I922" s="24" t="n">
        <f aca="false">IFERROR(__xludf.dummyfunction("""COMPUTED_VALUE"""),5700)</f>
        <v>5700</v>
      </c>
      <c r="K922" s="0" t="str">
        <f aca="false">IF(D922,"{""sku"":"""&amp;B922&amp;""", ""costo"":"&amp;C922&amp;", ""grupo"":"""&amp;A922&amp;""", ""lote"":"&amp;D922&amp;", ""tiempo"":"&amp;E922&amp;", "&amp;F922&amp;", ""vencimiento"":"&amp;G922&amp;IF(I922,", ""precio"":"&amp;I922,)&amp;", ""tipo"":"""&amp;H922&amp;"""},",)</f>
        <v>{"sku":"10016", "costo":10, "grupo":"13", "lote":1, "tiempo":20, "formula":[{"sku":"1201","req":1},{"sku":"1106","req":4},{"sku":"1110","req":1},{"sku":"1112","req":1},{"sku":"1107","req":1},{"sku":"1116","req":1}], "vencimiento":1, "precio":5700, "tipo":"cocina"},</v>
      </c>
    </row>
    <row r="923" customFormat="false" ht="13" hidden="false" customHeight="false" outlineLevel="0" collapsed="false">
      <c r="A923" s="17" t="n">
        <v>13</v>
      </c>
      <c r="B923" s="0" t="n">
        <f aca="false">IFERROR(__xludf.dummyfunction("""COMPUTED_VALUE"""),10017)</f>
        <v>10017</v>
      </c>
      <c r="C923" s="24" t="n">
        <f aca="false">IFERROR(__xludf.dummyfunction("""COMPUTED_VALUE"""),10)</f>
        <v>10</v>
      </c>
      <c r="D923" s="0" t="n">
        <f aca="false">IFERROR(__xludf.dummyfunction("""COMPUTED_VALUE"""),1)</f>
        <v>1</v>
      </c>
      <c r="E923" s="0" t="n">
        <f aca="false">IFERROR(__xludf.dummyfunction("""COMPUTED_VALUE"""),10)</f>
        <v>10</v>
      </c>
      <c r="F923" s="0" t="str">
        <f aca="false">IFERROR(__xludf.dummyfunction("filter(Formulas!$C:$C,Formulas!$A:$A=B923)"),"""formula"":[{""sku"":""1201"",""req"":1},{""sku"":""1110"",""req"":1},{""sku"":""1112"",""req"":1},{""sku"":""1107"",""req"":1},{""sku"":""1116"",""req"":1}]")</f>
        <v>"formula":[{"sku":"1201","req":1},{"sku":"1110","req":1},{"sku":"1112","req":1},{"sku":"1107","req":1},{"sku":"1116","req":1}]</v>
      </c>
      <c r="G923" s="0" t="n">
        <f aca="false">IFERROR(__xludf.dummyfunction("""COMPUTED_VALUE"""),1)</f>
        <v>1</v>
      </c>
      <c r="H923" s="21" t="str">
        <f aca="false">IFERROR(__xludf.dummyfunction("IF(D923,filter(Productos!AC:AC,Productos!A:A=B923),)"),"cocina")</f>
        <v>cocina</v>
      </c>
      <c r="I923" s="24" t="n">
        <f aca="false">IFERROR(__xludf.dummyfunction("""COMPUTED_VALUE"""),5700)</f>
        <v>5700</v>
      </c>
      <c r="K923" s="0" t="str">
        <f aca="false">IF(D923,"{""sku"":"""&amp;B923&amp;""", ""costo"":"&amp;C923&amp;", ""grupo"":"""&amp;A923&amp;""", ""lote"":"&amp;D923&amp;", ""tiempo"":"&amp;E923&amp;", "&amp;F923&amp;", ""vencimiento"":"&amp;G923&amp;IF(I923,", ""precio"":"&amp;I923,)&amp;", ""tipo"":"""&amp;H923&amp;"""},",)</f>
        <v>{"sku":"10017", "costo":10, "grupo":"13", "lote":1, "tiempo":10, "formula":[{"sku":"1201","req":1},{"sku":"1110","req":1},{"sku":"1112","req":1},{"sku":"1107","req":1},{"sku":"1116","req":1}], "vencimiento":1, "precio":5700, "tipo":"cocina"},</v>
      </c>
    </row>
    <row r="924" customFormat="false" ht="13" hidden="false" customHeight="false" outlineLevel="0" collapsed="false">
      <c r="A924" s="16" t="n">
        <v>13</v>
      </c>
      <c r="B924" s="0" t="n">
        <f aca="false">IFERROR(__xludf.dummyfunction("""COMPUTED_VALUE"""),10018)</f>
        <v>10018</v>
      </c>
      <c r="C924" s="24" t="n">
        <f aca="false">IFERROR(__xludf.dummyfunction("""COMPUTED_VALUE"""),10)</f>
        <v>10</v>
      </c>
      <c r="D924" s="0" t="n">
        <f aca="false">IFERROR(__xludf.dummyfunction("""COMPUTED_VALUE"""),1)</f>
        <v>1</v>
      </c>
      <c r="E924" s="0" t="n">
        <f aca="false">IFERROR(__xludf.dummyfunction("""COMPUTED_VALUE"""),10)</f>
        <v>10</v>
      </c>
      <c r="F924" s="0" t="str">
        <f aca="false">IFERROR(__xludf.dummyfunction("filter(Formulas!$C:$C,Formulas!$A:$A=B924)"),"""formula"":[{""sku"":""1201"",""req"":1},{""sku"":""1105"",""req"":1},{""sku"":""1112"",""req"":1},{""sku"":""1407"",""req"":1},{""sku"":""1116"",""req"":1}]")</f>
        <v>"formula":[{"sku":"1201","req":1},{"sku":"1105","req":1},{"sku":"1112","req":1},{"sku":"1407","req":1},{"sku":"1116","req":1}]</v>
      </c>
      <c r="G924" s="0" t="n">
        <f aca="false">IFERROR(__xludf.dummyfunction("""COMPUTED_VALUE"""),1)</f>
        <v>1</v>
      </c>
      <c r="H924" s="21" t="str">
        <f aca="false">IFERROR(__xludf.dummyfunction("IF(D924,filter(Productos!AC:AC,Productos!A:A=B924),)"),"cocina")</f>
        <v>cocina</v>
      </c>
      <c r="I924" s="24" t="n">
        <f aca="false">IFERROR(__xludf.dummyfunction("""COMPUTED_VALUE"""),5700)</f>
        <v>5700</v>
      </c>
      <c r="K924" s="0" t="str">
        <f aca="false">IF(D924,"{""sku"":"""&amp;B924&amp;""", ""costo"":"&amp;C924&amp;", ""grupo"":"""&amp;A924&amp;""", ""lote"":"&amp;D924&amp;", ""tiempo"":"&amp;E924&amp;", "&amp;F924&amp;", ""vencimiento"":"&amp;G924&amp;IF(I924,", ""precio"":"&amp;I924,)&amp;", ""tipo"":"""&amp;H924&amp;"""},",)</f>
        <v>{"sku":"10018", "costo":10, "grupo":"13", "lote":1, "tiempo":10, "formula":[{"sku":"1201","req":1},{"sku":"1105","req":1},{"sku":"1112","req":1},{"sku":"1407","req":1},{"sku":"1116","req":1}], "vencimiento":1, "precio":5700, "tipo":"cocina"},</v>
      </c>
    </row>
    <row r="925" customFormat="false" ht="13" hidden="false" customHeight="false" outlineLevel="0" collapsed="false">
      <c r="A925" s="17" t="n">
        <v>13</v>
      </c>
      <c r="B925" s="0" t="n">
        <f aca="false">IFERROR(__xludf.dummyfunction("""COMPUTED_VALUE"""),10019)</f>
        <v>10019</v>
      </c>
      <c r="C925" s="24" t="n">
        <f aca="false">IFERROR(__xludf.dummyfunction("""COMPUTED_VALUE"""),10)</f>
        <v>10</v>
      </c>
      <c r="D925" s="0" t="n">
        <f aca="false">IFERROR(__xludf.dummyfunction("""COMPUTED_VALUE"""),1)</f>
        <v>1</v>
      </c>
      <c r="E925" s="0" t="n">
        <f aca="false">IFERROR(__xludf.dummyfunction("""COMPUTED_VALUE"""),10)</f>
        <v>10</v>
      </c>
      <c r="F925" s="0" t="str">
        <f aca="false">IFERROR(__xludf.dummyfunction("filter(Formulas!$C:$C,Formulas!$A:$A=B925)"),"""formula"":[{""sku"":""1201"",""req"":1},{""sku"":""1106"",""req"":4},{""sku"":""1210"",""req"":1},{""sku"":""1116"",""req"":1},{""sku"":""1407"",""req"":1}]")</f>
        <v>"formula":[{"sku":"1201","req":1},{"sku":"1106","req":4},{"sku":"1210","req":1},{"sku":"1116","req":1},{"sku":"1407","req":1}]</v>
      </c>
      <c r="G925" s="0" t="n">
        <f aca="false">IFERROR(__xludf.dummyfunction("""COMPUTED_VALUE"""),1)</f>
        <v>1</v>
      </c>
      <c r="H925" s="21" t="str">
        <f aca="false">IFERROR(__xludf.dummyfunction("IF(D925,filter(Productos!AC:AC,Productos!A:A=B925),)"),"cocina")</f>
        <v>cocina</v>
      </c>
      <c r="I925" s="24" t="n">
        <f aca="false">IFERROR(__xludf.dummyfunction("""COMPUTED_VALUE"""),5700)</f>
        <v>5700</v>
      </c>
      <c r="K925" s="0" t="str">
        <f aca="false">IF(D925,"{""sku"":"""&amp;B925&amp;""", ""costo"":"&amp;C925&amp;", ""grupo"":"""&amp;A925&amp;""", ""lote"":"&amp;D925&amp;", ""tiempo"":"&amp;E925&amp;", "&amp;F925&amp;", ""vencimiento"":"&amp;G925&amp;IF(I925,", ""precio"":"&amp;I925,)&amp;", ""tipo"":"""&amp;H925&amp;"""},",)</f>
        <v>{"sku":"10019", "costo":10, "grupo":"13", "lote":1, "tiempo":10, "formula":[{"sku":"1201","req":1},{"sku":"1106","req":4},{"sku":"1210","req":1},{"sku":"1116","req":1},{"sku":"1407","req":1}], "vencimiento":1, "precio":5700, "tipo":"cocina"},</v>
      </c>
    </row>
    <row r="926" customFormat="false" ht="13" hidden="false" customHeight="false" outlineLevel="0" collapsed="false">
      <c r="A926" s="16" t="n">
        <v>13</v>
      </c>
      <c r="B926" s="0" t="n">
        <f aca="false">IFERROR(__xludf.dummyfunction("""COMPUTED_VALUE"""),10020)</f>
        <v>10020</v>
      </c>
      <c r="C926" s="24" t="n">
        <f aca="false">IFERROR(__xludf.dummyfunction("""COMPUTED_VALUE"""),10)</f>
        <v>10</v>
      </c>
      <c r="D926" s="0" t="n">
        <f aca="false">IFERROR(__xludf.dummyfunction("""COMPUTED_VALUE"""),1)</f>
        <v>1</v>
      </c>
      <c r="E926" s="0" t="n">
        <f aca="false">IFERROR(__xludf.dummyfunction("""COMPUTED_VALUE"""),20)</f>
        <v>20</v>
      </c>
      <c r="F926" s="0" t="str">
        <f aca="false">IFERROR(__xludf.dummyfunction("filter(Formulas!$C:$C,Formulas!$A:$A=B926)"),"""formula"":[{""sku"":""1201"",""req"":1},{""sku"":""1116"",""req"":1},{""sku"":""1106"",""req"":4},{""sku"":""1112"",""req"":1},{""sku"":""1114"",""req"":1},{""sku"":""1407"",""req"":1}]")</f>
        <v>"formula":[{"sku":"1201","req":1},{"sku":"1116","req":1},{"sku":"1106","req":4},{"sku":"1112","req":1},{"sku":"1114","req":1},{"sku":"1407","req":1}]</v>
      </c>
      <c r="G926" s="0" t="n">
        <f aca="false">IFERROR(__xludf.dummyfunction("""COMPUTED_VALUE"""),1)</f>
        <v>1</v>
      </c>
      <c r="H926" s="21" t="str">
        <f aca="false">IFERROR(__xludf.dummyfunction("IF(D926,filter(Productos!AC:AC,Productos!A:A=B926),)"),"cocina")</f>
        <v>cocina</v>
      </c>
      <c r="I926" s="24" t="n">
        <f aca="false">IFERROR(__xludf.dummyfunction("""COMPUTED_VALUE"""),5900)</f>
        <v>5900</v>
      </c>
      <c r="K926" s="0" t="str">
        <f aca="false">IF(D926,"{""sku"":"""&amp;B926&amp;""", ""costo"":"&amp;C926&amp;", ""grupo"":"""&amp;A926&amp;""", ""lote"":"&amp;D926&amp;", ""tiempo"":"&amp;E926&amp;", "&amp;F926&amp;", ""vencimiento"":"&amp;G926&amp;IF(I926,", ""precio"":"&amp;I926,)&amp;", ""tipo"":"""&amp;H926&amp;"""},",)</f>
        <v>{"sku":"10020", "costo":10, "grupo":"13", "lote":1, "tiempo":20, "formula":[{"sku":"1201","req":1},{"sku":"1116","req":1},{"sku":"1106","req":4},{"sku":"1112","req":1},{"sku":"1114","req":1},{"sku":"1407","req":1}], "vencimiento":1, "precio":5900, "tipo":"cocina"},</v>
      </c>
    </row>
    <row r="927" customFormat="false" ht="13" hidden="false" customHeight="false" outlineLevel="0" collapsed="false">
      <c r="A927" s="17" t="n">
        <v>13</v>
      </c>
      <c r="B927" s="0" t="n">
        <f aca="false">IFERROR(__xludf.dummyfunction("""COMPUTED_VALUE"""),10021)</f>
        <v>10021</v>
      </c>
      <c r="C927" s="24" t="n">
        <f aca="false">IFERROR(__xludf.dummyfunction("""COMPUTED_VALUE"""),10)</f>
        <v>10</v>
      </c>
      <c r="D927" s="0" t="n">
        <f aca="false">IFERROR(__xludf.dummyfunction("""COMPUTED_VALUE"""),1)</f>
        <v>1</v>
      </c>
      <c r="E927" s="0" t="n">
        <f aca="false">IFERROR(__xludf.dummyfunction("""COMPUTED_VALUE"""),10)</f>
        <v>10</v>
      </c>
      <c r="F927" s="0" t="str">
        <f aca="false">IFERROR(__xludf.dummyfunction("filter(Formulas!$C:$C,Formulas!$A:$A=B927)"),"""formula"":[{""sku"":""1201"",""req"":1},{""sku"":""1116"",""req"":1},{""sku"":""1109"",""req"":1},{""sku"":""1114"",""req"":1},{""sku"":""1407"",""req"":1}]")</f>
        <v>"formula":[{"sku":"1201","req":1},{"sku":"1116","req":1},{"sku":"1109","req":1},{"sku":"1114","req":1},{"sku":"1407","req":1}]</v>
      </c>
      <c r="G927" s="0" t="n">
        <f aca="false">IFERROR(__xludf.dummyfunction("""COMPUTED_VALUE"""),1)</f>
        <v>1</v>
      </c>
      <c r="H927" s="21" t="str">
        <f aca="false">IFERROR(__xludf.dummyfunction("IF(D927,filter(Productos!AC:AC,Productos!A:A=B927),)"),"cocina")</f>
        <v>cocina</v>
      </c>
      <c r="I927" s="24" t="n">
        <f aca="false">IFERROR(__xludf.dummyfunction("""COMPUTED_VALUE"""),5900)</f>
        <v>5900</v>
      </c>
      <c r="K927" s="0" t="str">
        <f aca="false">IF(D927,"{""sku"":"""&amp;B927&amp;""", ""costo"":"&amp;C927&amp;", ""grupo"":"""&amp;A927&amp;""", ""lote"":"&amp;D927&amp;", ""tiempo"":"&amp;E927&amp;", "&amp;F927&amp;", ""vencimiento"":"&amp;G927&amp;IF(I927,", ""precio"":"&amp;I927,)&amp;", ""tipo"":"""&amp;H927&amp;"""},",)</f>
        <v>{"sku":"10021", "costo":10, "grupo":"13", "lote":1, "tiempo":10, "formula":[{"sku":"1201","req":1},{"sku":"1116","req":1},{"sku":"1109","req":1},{"sku":"1114","req":1},{"sku":"1407","req":1}], "vencimiento":1, "precio":5900, "tipo":"cocina"},</v>
      </c>
    </row>
    <row r="928" customFormat="false" ht="13" hidden="false" customHeight="false" outlineLevel="0" collapsed="false">
      <c r="A928" s="16" t="n">
        <v>13</v>
      </c>
      <c r="B928" s="0" t="n">
        <f aca="false">IFERROR(__xludf.dummyfunction("""COMPUTED_VALUE"""),10022)</f>
        <v>10022</v>
      </c>
      <c r="C928" s="24" t="n">
        <f aca="false">IFERROR(__xludf.dummyfunction("""COMPUTED_VALUE"""),10)</f>
        <v>10</v>
      </c>
      <c r="D928" s="0" t="n">
        <f aca="false">IFERROR(__xludf.dummyfunction("""COMPUTED_VALUE"""),1)</f>
        <v>1</v>
      </c>
      <c r="E928" s="0" t="n">
        <f aca="false">IFERROR(__xludf.dummyfunction("""COMPUTED_VALUE"""),20)</f>
        <v>20</v>
      </c>
      <c r="F928" s="0" t="str">
        <f aca="false">IFERROR(__xludf.dummyfunction("filter(Formulas!$C:$C,Formulas!$A:$A=B928)"),"""formula"":[{""sku"":""1201"",""req"":1},{""sku"":""1116"",""req"":1},{""sku"":""1107"",""req"":1},{""sku"":""1112"",""req"":1},{""sku"":""1210"",""req"":1},{""sku"":""1215"",""req"":1}]")</f>
        <v>"formula":[{"sku":"1201","req":1},{"sku":"1116","req":1},{"sku":"1107","req":1},{"sku":"1112","req":1},{"sku":"1210","req":1},{"sku":"1215","req":1}]</v>
      </c>
      <c r="G928" s="0" t="n">
        <f aca="false">IFERROR(__xludf.dummyfunction("""COMPUTED_VALUE"""),1)</f>
        <v>1</v>
      </c>
      <c r="H928" s="21" t="str">
        <f aca="false">IFERROR(__xludf.dummyfunction("IF(D928,filter(Productos!AC:AC,Productos!A:A=B928),)"),"cocina")</f>
        <v>cocina</v>
      </c>
      <c r="I928" s="24" t="n">
        <f aca="false">IFERROR(__xludf.dummyfunction("""COMPUTED_VALUE"""),5500)</f>
        <v>5500</v>
      </c>
      <c r="K928" s="0" t="str">
        <f aca="false">IF(D928,"{""sku"":"""&amp;B928&amp;""", ""costo"":"&amp;C928&amp;", ""grupo"":"""&amp;A928&amp;""", ""lote"":"&amp;D928&amp;", ""tiempo"":"&amp;E928&amp;", "&amp;F928&amp;", ""vencimiento"":"&amp;G928&amp;IF(I928,", ""precio"":"&amp;I928,)&amp;", ""tipo"":"""&amp;H928&amp;"""},",)</f>
        <v>{"sku":"10022", "costo":10, "grupo":"13", "lote":1, "tiempo":20, "formula":[{"sku":"1201","req":1},{"sku":"1116","req":1},{"sku":"1107","req":1},{"sku":"1112","req":1},{"sku":"1210","req":1},{"sku":"1215","req":1}], "vencimiento":1, "precio":5500, "tipo":"cocina"},</v>
      </c>
    </row>
    <row r="929" customFormat="false" ht="13" hidden="false" customHeight="false" outlineLevel="0" collapsed="false">
      <c r="A929" s="17" t="n">
        <v>13</v>
      </c>
      <c r="B929" s="0" t="n">
        <f aca="false">IFERROR(__xludf.dummyfunction("""COMPUTED_VALUE"""),10023)</f>
        <v>10023</v>
      </c>
      <c r="C929" s="24" t="n">
        <f aca="false">IFERROR(__xludf.dummyfunction("""COMPUTED_VALUE"""),10)</f>
        <v>10</v>
      </c>
      <c r="D929" s="0" t="n">
        <f aca="false">IFERROR(__xludf.dummyfunction("""COMPUTED_VALUE"""),1)</f>
        <v>1</v>
      </c>
      <c r="E929" s="0" t="n">
        <f aca="false">IFERROR(__xludf.dummyfunction("""COMPUTED_VALUE"""),20)</f>
        <v>20</v>
      </c>
      <c r="F929" s="0" t="str">
        <f aca="false">IFERROR(__xludf.dummyfunction("filter(Formulas!$C:$C,Formulas!$A:$A=B929)"),"""formula"":[{""sku"":""1201"",""req"":1},{""sku"":""1116"",""req"":1},{""sku"":""1109"",""req"":1},{""sku"":""1112"",""req"":1},{""sku"":""1210"",""req"":1},{""sku"":""1215"",""req"":1}]")</f>
        <v>"formula":[{"sku":"1201","req":1},{"sku":"1116","req":1},{"sku":"1109","req":1},{"sku":"1112","req":1},{"sku":"1210","req":1},{"sku":"1215","req":1}]</v>
      </c>
      <c r="G929" s="0" t="n">
        <f aca="false">IFERROR(__xludf.dummyfunction("""COMPUTED_VALUE"""),1)</f>
        <v>1</v>
      </c>
      <c r="H929" s="21" t="str">
        <f aca="false">IFERROR(__xludf.dummyfunction("IF(D929,filter(Productos!AC:AC,Productos!A:A=B929),)"),"cocina")</f>
        <v>cocina</v>
      </c>
      <c r="I929" s="24" t="n">
        <f aca="false">IFERROR(__xludf.dummyfunction("""COMPUTED_VALUE"""),5500)</f>
        <v>5500</v>
      </c>
      <c r="K929" s="0" t="str">
        <f aca="false">IF(D929,"{""sku"":"""&amp;B929&amp;""", ""costo"":"&amp;C929&amp;", ""grupo"":"""&amp;A929&amp;""", ""lote"":"&amp;D929&amp;", ""tiempo"":"&amp;E929&amp;", "&amp;F929&amp;", ""vencimiento"":"&amp;G929&amp;IF(I929,", ""precio"":"&amp;I929,)&amp;", ""tipo"":"""&amp;H929&amp;"""},",)</f>
        <v>{"sku":"10023", "costo":10, "grupo":"13", "lote":1, "tiempo":20, "formula":[{"sku":"1201","req":1},{"sku":"1116","req":1},{"sku":"1109","req":1},{"sku":"1112","req":1},{"sku":"1210","req":1},{"sku":"1215","req":1}], "vencimiento":1, "precio":5500, "tipo":"cocina"},</v>
      </c>
    </row>
    <row r="930" customFormat="false" ht="13" hidden="false" customHeight="false" outlineLevel="0" collapsed="false">
      <c r="A930" s="16" t="n">
        <v>13</v>
      </c>
      <c r="B930" s="0" t="n">
        <f aca="false">IFERROR(__xludf.dummyfunction("""COMPUTED_VALUE"""),10024)</f>
        <v>10024</v>
      </c>
      <c r="C930" s="24" t="n">
        <f aca="false">IFERROR(__xludf.dummyfunction("""COMPUTED_VALUE"""),10)</f>
        <v>10</v>
      </c>
      <c r="D930" s="0" t="n">
        <f aca="false">IFERROR(__xludf.dummyfunction("""COMPUTED_VALUE"""),1)</f>
        <v>1</v>
      </c>
      <c r="E930" s="0" t="n">
        <f aca="false">IFERROR(__xludf.dummyfunction("""COMPUTED_VALUE"""),20)</f>
        <v>20</v>
      </c>
      <c r="F930" s="0" t="str">
        <f aca="false">IFERROR(__xludf.dummyfunction("filter(Formulas!$C:$C,Formulas!$A:$A=B930)"),"""formula"":[{""sku"":""1201"",""req"":1},{""sku"":""1116"",""req"":1},{""sku"":""1210"",""req"":1},{""sku"":""1114"",""req"":1},{""sku"":""1115"",""req"":1},{""sku"":""1211"",""req"":1}]")</f>
        <v>"formula":[{"sku":"1201","req":1},{"sku":"1116","req":1},{"sku":"1210","req":1},{"sku":"1114","req":1},{"sku":"1115","req":1},{"sku":"1211","req":1}]</v>
      </c>
      <c r="G930" s="0" t="n">
        <f aca="false">IFERROR(__xludf.dummyfunction("""COMPUTED_VALUE"""),1)</f>
        <v>1</v>
      </c>
      <c r="H930" s="21" t="str">
        <f aca="false">IFERROR(__xludf.dummyfunction("IF(D930,filter(Productos!AC:AC,Productos!A:A=B930),)"),"cocina")</f>
        <v>cocina</v>
      </c>
      <c r="I930" s="24" t="n">
        <f aca="false">IFERROR(__xludf.dummyfunction("""COMPUTED_VALUE"""),4900)</f>
        <v>4900</v>
      </c>
      <c r="K930" s="0" t="str">
        <f aca="false">IF(D930,"{""sku"":"""&amp;B930&amp;""", ""costo"":"&amp;C930&amp;", ""grupo"":"""&amp;A930&amp;""", ""lote"":"&amp;D930&amp;", ""tiempo"":"&amp;E930&amp;", "&amp;F930&amp;", ""vencimiento"":"&amp;G930&amp;IF(I930,", ""precio"":"&amp;I930,)&amp;", ""tipo"":"""&amp;H930&amp;"""},",)</f>
        <v>{"sku":"10024", "costo":10, "grupo":"13", "lote":1, "tiempo":20, "formula":[{"sku":"1201","req":1},{"sku":"1116","req":1},{"sku":"1210","req":1},{"sku":"1114","req":1},{"sku":"1115","req":1},{"sku":"1211","req":1}], "vencimiento":1, "precio":4900, "tipo":"cocina"},</v>
      </c>
    </row>
    <row r="931" customFormat="false" ht="13" hidden="false" customHeight="false" outlineLevel="0" collapsed="false">
      <c r="A931" s="17" t="n">
        <v>13</v>
      </c>
      <c r="B931" s="0" t="n">
        <f aca="false">IFERROR(__xludf.dummyfunction("""COMPUTED_VALUE"""),10025)</f>
        <v>10025</v>
      </c>
      <c r="C931" s="24" t="n">
        <f aca="false">IFERROR(__xludf.dummyfunction("""COMPUTED_VALUE"""),10)</f>
        <v>10</v>
      </c>
      <c r="D931" s="0" t="n">
        <f aca="false">IFERROR(__xludf.dummyfunction("""COMPUTED_VALUE"""),1)</f>
        <v>1</v>
      </c>
      <c r="E931" s="0" t="n">
        <f aca="false">IFERROR(__xludf.dummyfunction("""COMPUTED_VALUE"""),20)</f>
        <v>20</v>
      </c>
      <c r="F931" s="0" t="str">
        <f aca="false">IFERROR(__xludf.dummyfunction("filter(Formulas!$C:$C,Formulas!$A:$A=B931)"),"""formula"":[{""sku"":""1201"",""req"":1},{""sku"":""1116"",""req"":1},{""sku"":""1210"",""req"":1},{""sku"":""1114"",""req"":1},{""sku"":""1115"",""req"":1},{""sku"":""1013"",""req"":5}]")</f>
        <v>"formula":[{"sku":"1201","req":1},{"sku":"1116","req":1},{"sku":"1210","req":1},{"sku":"1114","req":1},{"sku":"1115","req":1},{"sku":"1013","req":5}]</v>
      </c>
      <c r="G931" s="0" t="n">
        <f aca="false">IFERROR(__xludf.dummyfunction("""COMPUTED_VALUE"""),1)</f>
        <v>1</v>
      </c>
      <c r="H931" s="21" t="str">
        <f aca="false">IFERROR(__xludf.dummyfunction("IF(D931,filter(Productos!AC:AC,Productos!A:A=B931),)"),"cocina")</f>
        <v>cocina</v>
      </c>
      <c r="I931" s="24" t="n">
        <f aca="false">IFERROR(__xludf.dummyfunction("""COMPUTED_VALUE"""),4900)</f>
        <v>4900</v>
      </c>
      <c r="K931" s="0" t="str">
        <f aca="false">IF(D931,"{""sku"":"""&amp;B931&amp;""", ""costo"":"&amp;C931&amp;", ""grupo"":"""&amp;A931&amp;""", ""lote"":"&amp;D931&amp;", ""tiempo"":"&amp;E931&amp;", "&amp;F931&amp;", ""vencimiento"":"&amp;G931&amp;IF(I931,", ""precio"":"&amp;I931,)&amp;", ""tipo"":"""&amp;H931&amp;"""},",)</f>
        <v>{"sku":"10025", "costo":10, "grupo":"13", "lote":1, "tiempo":20, "formula":[{"sku":"1201","req":1},{"sku":"1116","req":1},{"sku":"1210","req":1},{"sku":"1114","req":1},{"sku":"1115","req":1},{"sku":"1013","req":5}], "vencimiento":1, "precio":4900, "tipo":"cocina"},</v>
      </c>
    </row>
    <row r="932" customFormat="false" ht="13" hidden="false" customHeight="false" outlineLevel="0" collapsed="false">
      <c r="A932" s="16" t="n">
        <v>13</v>
      </c>
      <c r="B932" s="0" t="n">
        <f aca="false">IFERROR(__xludf.dummyfunction("""COMPUTED_VALUE"""),20001)</f>
        <v>20001</v>
      </c>
      <c r="C932" s="24" t="n">
        <f aca="false">IFERROR(__xludf.dummyfunction("""COMPUTED_VALUE"""),10)</f>
        <v>10</v>
      </c>
      <c r="D932" s="0" t="n">
        <f aca="false">IFERROR(__xludf.dummyfunction("""COMPUTED_VALUE"""),1)</f>
        <v>1</v>
      </c>
      <c r="E932" s="0" t="n">
        <f aca="false">IFERROR(__xludf.dummyfunction("""COMPUTED_VALUE"""),10)</f>
        <v>10</v>
      </c>
      <c r="F932" s="0" t="str">
        <f aca="false">IFERROR(__xludf.dummyfunction("filter(Formulas!$C:$C,Formulas!$A:$A=B932)"),"""formula"":[{""sku"":""1301"",""req"":1},{""sku"":""1207"",""req"":1},{""sku"":""1310"",""req"":1},{""sku"":""1112"",""req"":1},{""sku"":""1216"",""req"":1}]")</f>
        <v>"formula":[{"sku":"1301","req":1},{"sku":"1207","req":1},{"sku":"1310","req":1},{"sku":"1112","req":1},{"sku":"1216","req":1}]</v>
      </c>
      <c r="G932" s="0" t="n">
        <f aca="false">IFERROR(__xludf.dummyfunction("""COMPUTED_VALUE"""),1)</f>
        <v>1</v>
      </c>
      <c r="H932" s="21" t="str">
        <f aca="false">IFERROR(__xludf.dummyfunction("IF(D932,filter(Productos!AC:AC,Productos!A:A=B932),)"),"cocina")</f>
        <v>cocina</v>
      </c>
      <c r="I932" s="24" t="n">
        <f aca="false">IFERROR(__xludf.dummyfunction("""COMPUTED_VALUE"""),2700)</f>
        <v>2700</v>
      </c>
      <c r="K932" s="0" t="str">
        <f aca="false">IF(D932,"{""sku"":"""&amp;B932&amp;""", ""costo"":"&amp;C932&amp;", ""grupo"":"""&amp;A932&amp;""", ""lote"":"&amp;D932&amp;", ""tiempo"":"&amp;E932&amp;", "&amp;F932&amp;", ""vencimiento"":"&amp;G932&amp;IF(I932,", ""precio"":"&amp;I932,)&amp;", ""tipo"":"""&amp;H932&amp;"""},",)</f>
        <v>{"sku":"20001", "costo":10, "grupo":"13", "lote":1, "tiempo":10, "formula":[{"sku":"1301","req":1},{"sku":"1207","req":1},{"sku":"1310","req":1},{"sku":"1112","req":1},{"sku":"1216","req":1}], "vencimiento":1, "precio":2700, "tipo":"cocina"},</v>
      </c>
    </row>
    <row r="933" customFormat="false" ht="13" hidden="false" customHeight="false" outlineLevel="0" collapsed="false">
      <c r="A933" s="17" t="n">
        <v>13</v>
      </c>
      <c r="B933" s="0" t="n">
        <f aca="false">IFERROR(__xludf.dummyfunction("""COMPUTED_VALUE"""),20002)</f>
        <v>20002</v>
      </c>
      <c r="C933" s="24" t="n">
        <f aca="false">IFERROR(__xludf.dummyfunction("""COMPUTED_VALUE"""),10)</f>
        <v>10</v>
      </c>
      <c r="D933" s="0" t="n">
        <f aca="false">IFERROR(__xludf.dummyfunction("""COMPUTED_VALUE"""),1)</f>
        <v>1</v>
      </c>
      <c r="E933" s="0" t="n">
        <f aca="false">IFERROR(__xludf.dummyfunction("""COMPUTED_VALUE"""),10)</f>
        <v>10</v>
      </c>
      <c r="F933" s="0" t="str">
        <f aca="false">IFERROR(__xludf.dummyfunction("filter(Formulas!$C:$C,Formulas!$A:$A=B933)"),"""formula"":[{""sku"":""1301"",""req"":1},{""sku"":""1216"",""req"":1},{""sku"":""1106"",""req"":4}]")</f>
        <v>"formula":[{"sku":"1301","req":1},{"sku":"1216","req":1},{"sku":"1106","req":4}]</v>
      </c>
      <c r="G933" s="0" t="n">
        <f aca="false">IFERROR(__xludf.dummyfunction("""COMPUTED_VALUE"""),1)</f>
        <v>1</v>
      </c>
      <c r="H933" s="21" t="str">
        <f aca="false">IFERROR(__xludf.dummyfunction("IF(D933,filter(Productos!AC:AC,Productos!A:A=B933),)"),"cocina")</f>
        <v>cocina</v>
      </c>
      <c r="I933" s="24" t="n">
        <f aca="false">IFERROR(__xludf.dummyfunction("""COMPUTED_VALUE"""),2700)</f>
        <v>2700</v>
      </c>
      <c r="K933" s="0" t="str">
        <f aca="false">IF(D933,"{""sku"":"""&amp;B933&amp;""", ""costo"":"&amp;C933&amp;", ""grupo"":"""&amp;A933&amp;""", ""lote"":"&amp;D933&amp;", ""tiempo"":"&amp;E933&amp;", "&amp;F933&amp;", ""vencimiento"":"&amp;G933&amp;IF(I933,", ""precio"":"&amp;I933,)&amp;", ""tipo"":"""&amp;H933&amp;"""},",)</f>
        <v>{"sku":"20002", "costo":10, "grupo":"13", "lote":1, "tiempo":10, "formula":[{"sku":"1301","req":1},{"sku":"1216","req":1},{"sku":"1106","req":4}], "vencimiento":1, "precio":2700, "tipo":"cocina"},</v>
      </c>
    </row>
    <row r="934" customFormat="false" ht="13" hidden="false" customHeight="false" outlineLevel="0" collapsed="false">
      <c r="A934" s="16" t="n">
        <v>13</v>
      </c>
      <c r="B934" s="0" t="n">
        <f aca="false">IFERROR(__xludf.dummyfunction("""COMPUTED_VALUE"""),20003)</f>
        <v>20003</v>
      </c>
      <c r="C934" s="24" t="n">
        <f aca="false">IFERROR(__xludf.dummyfunction("""COMPUTED_VALUE"""),10)</f>
        <v>10</v>
      </c>
      <c r="D934" s="0" t="n">
        <f aca="false">IFERROR(__xludf.dummyfunction("""COMPUTED_VALUE"""),1)</f>
        <v>1</v>
      </c>
      <c r="E934" s="0" t="n">
        <f aca="false">IFERROR(__xludf.dummyfunction("""COMPUTED_VALUE"""),10)</f>
        <v>10</v>
      </c>
      <c r="F934" s="0" t="str">
        <f aca="false">IFERROR(__xludf.dummyfunction("filter(Formulas!$C:$C,Formulas!$A:$A=B934)"),"""formula"":[{""sku"":""1301"",""req"":1},{""sku"":""1216"",""req"":1},{""sku"":""1207"",""req"":1}]")</f>
        <v>"formula":[{"sku":"1301","req":1},{"sku":"1216","req":1},{"sku":"1207","req":1}]</v>
      </c>
      <c r="G934" s="0" t="n">
        <f aca="false">IFERROR(__xludf.dummyfunction("""COMPUTED_VALUE"""),1)</f>
        <v>1</v>
      </c>
      <c r="H934" s="21" t="str">
        <f aca="false">IFERROR(__xludf.dummyfunction("IF(D934,filter(Productos!AC:AC,Productos!A:A=B934),)"),"cocina")</f>
        <v>cocina</v>
      </c>
      <c r="I934" s="24" t="n">
        <f aca="false">IFERROR(__xludf.dummyfunction("""COMPUTED_VALUE"""),2700)</f>
        <v>2700</v>
      </c>
      <c r="K934" s="0" t="str">
        <f aca="false">IF(D934,"{""sku"":"""&amp;B934&amp;""", ""costo"":"&amp;C934&amp;", ""grupo"":"""&amp;A934&amp;""", ""lote"":"&amp;D934&amp;", ""tiempo"":"&amp;E934&amp;", "&amp;F934&amp;", ""vencimiento"":"&amp;G934&amp;IF(I934,", ""precio"":"&amp;I934,)&amp;", ""tipo"":"""&amp;H934&amp;"""},",)</f>
        <v>{"sku":"20003", "costo":10, "grupo":"13", "lote":1, "tiempo":10, "formula":[{"sku":"1301","req":1},{"sku":"1216","req":1},{"sku":"1207","req":1}], "vencimiento":1, "precio":2700, "tipo":"cocina"},</v>
      </c>
    </row>
    <row r="935" customFormat="false" ht="13" hidden="false" customHeight="false" outlineLevel="0" collapsed="false">
      <c r="A935" s="17" t="n">
        <v>13</v>
      </c>
      <c r="B935" s="0" t="n">
        <f aca="false">IFERROR(__xludf.dummyfunction("""COMPUTED_VALUE"""),20004)</f>
        <v>20004</v>
      </c>
      <c r="C935" s="24" t="n">
        <f aca="false">IFERROR(__xludf.dummyfunction("""COMPUTED_VALUE"""),10)</f>
        <v>10</v>
      </c>
      <c r="D935" s="0" t="n">
        <f aca="false">IFERROR(__xludf.dummyfunction("""COMPUTED_VALUE"""),1)</f>
        <v>1</v>
      </c>
      <c r="E935" s="0" t="n">
        <f aca="false">IFERROR(__xludf.dummyfunction("""COMPUTED_VALUE"""),10)</f>
        <v>10</v>
      </c>
      <c r="F935" s="0" t="str">
        <f aca="false">IFERROR(__xludf.dummyfunction("filter(Formulas!$C:$C,Formulas!$A:$A=B935)"),"""formula"":[{""sku"":""1301"",""req"":1},{""sku"":""1216"",""req"":1},{""sku"":""1209"",""req"":1}]")</f>
        <v>"formula":[{"sku":"1301","req":1},{"sku":"1216","req":1},{"sku":"1209","req":1}]</v>
      </c>
      <c r="G935" s="0" t="n">
        <f aca="false">IFERROR(__xludf.dummyfunction("""COMPUTED_VALUE"""),1)</f>
        <v>1</v>
      </c>
      <c r="H935" s="21" t="str">
        <f aca="false">IFERROR(__xludf.dummyfunction("IF(D935,filter(Productos!AC:AC,Productos!A:A=B935),)"),"cocina")</f>
        <v>cocina</v>
      </c>
      <c r="I935" s="24" t="n">
        <f aca="false">IFERROR(__xludf.dummyfunction("""COMPUTED_VALUE"""),2700)</f>
        <v>2700</v>
      </c>
      <c r="K935" s="0" t="str">
        <f aca="false">IF(D935,"{""sku"":"""&amp;B935&amp;""", ""costo"":"&amp;C935&amp;", ""grupo"":"""&amp;A935&amp;""", ""lote"":"&amp;D935&amp;", ""tiempo"":"&amp;E935&amp;", "&amp;F935&amp;", ""vencimiento"":"&amp;G935&amp;IF(I935,", ""precio"":"&amp;I935,)&amp;", ""tipo"":"""&amp;H935&amp;"""},",)</f>
        <v>{"sku":"20004", "costo":10, "grupo":"13", "lote":1, "tiempo":10, "formula":[{"sku":"1301","req":1},{"sku":"1216","req":1},{"sku":"1209","req":1}], "vencimiento":1, "precio":2700, "tipo":"cocina"},</v>
      </c>
    </row>
    <row r="936" customFormat="false" ht="13" hidden="false" customHeight="false" outlineLevel="0" collapsed="false">
      <c r="A936" s="16" t="n">
        <v>13</v>
      </c>
      <c r="B936" s="0" t="n">
        <f aca="false">IFERROR(__xludf.dummyfunction("""COMPUTED_VALUE"""),20005)</f>
        <v>20005</v>
      </c>
      <c r="C936" s="24" t="n">
        <f aca="false">IFERROR(__xludf.dummyfunction("""COMPUTED_VALUE"""),10)</f>
        <v>10</v>
      </c>
      <c r="D936" s="0" t="n">
        <f aca="false">IFERROR(__xludf.dummyfunction("""COMPUTED_VALUE"""),1)</f>
        <v>1</v>
      </c>
      <c r="E936" s="0" t="n">
        <f aca="false">IFERROR(__xludf.dummyfunction("""COMPUTED_VALUE"""),20)</f>
        <v>20</v>
      </c>
      <c r="F936" s="0" t="str">
        <f aca="false">IFERROR(__xludf.dummyfunction("filter(Formulas!$C:$C,Formulas!$A:$A=B936)"),"""formula"":[{""sku"":""1301"",""req"":1},{""sku"":""1216"",""req"":1},{""sku"":""1209"",""req"":1},{""sku"":""1310"",""req"":1},{""sku"":""1112"",""req"":1}]")</f>
        <v>"formula":[{"sku":"1301","req":1},{"sku":"1216","req":1},{"sku":"1209","req":1},{"sku":"1310","req":1},{"sku":"1112","req":1}]</v>
      </c>
      <c r="G936" s="0" t="n">
        <f aca="false">IFERROR(__xludf.dummyfunction("""COMPUTED_VALUE"""),1)</f>
        <v>1</v>
      </c>
      <c r="H936" s="21" t="str">
        <f aca="false">IFERROR(__xludf.dummyfunction("IF(D936,filter(Productos!AC:AC,Productos!A:A=B936),)"),"cocina")</f>
        <v>cocina</v>
      </c>
      <c r="I936" s="24" t="n">
        <f aca="false">IFERROR(__xludf.dummyfunction("""COMPUTED_VALUE"""),2700)</f>
        <v>2700</v>
      </c>
      <c r="K936" s="0" t="str">
        <f aca="false">IF(D936,"{""sku"":"""&amp;B936&amp;""", ""costo"":"&amp;C936&amp;", ""grupo"":"""&amp;A936&amp;""", ""lote"":"&amp;D936&amp;", ""tiempo"":"&amp;E936&amp;", "&amp;F936&amp;", ""vencimiento"":"&amp;G936&amp;IF(I936,", ""precio"":"&amp;I936,)&amp;", ""tipo"":"""&amp;H936&amp;"""},",)</f>
        <v>{"sku":"20005", "costo":10, "grupo":"13", "lote":1, "tiempo":20, "formula":[{"sku":"1301","req":1},{"sku":"1216","req":1},{"sku":"1209","req":1},{"sku":"1310","req":1},{"sku":"1112","req":1}], "vencimiento":1, "precio":2700, "tipo":"cocina"},</v>
      </c>
    </row>
    <row r="937" customFormat="false" ht="13" hidden="false" customHeight="false" outlineLevel="0" collapsed="false">
      <c r="A937" s="17" t="n">
        <v>13</v>
      </c>
      <c r="B937" s="0" t="n">
        <f aca="false">IFERROR(__xludf.dummyfunction("""COMPUTED_VALUE"""),30001)</f>
        <v>30001</v>
      </c>
      <c r="C937" s="24" t="n">
        <f aca="false">IFERROR(__xludf.dummyfunction("""COMPUTED_VALUE"""),10)</f>
        <v>10</v>
      </c>
      <c r="D937" s="0" t="n">
        <f aca="false">IFERROR(__xludf.dummyfunction("""COMPUTED_VALUE"""),1)</f>
        <v>1</v>
      </c>
      <c r="E937" s="0" t="n">
        <f aca="false">IFERROR(__xludf.dummyfunction("""COMPUTED_VALUE"""),10)</f>
        <v>10</v>
      </c>
      <c r="F937" s="0" t="str">
        <f aca="false">IFERROR(__xludf.dummyfunction("filter(Formulas!$C:$C,Formulas!$A:$A=B937)"),"""formula"":[{""sku"":""1307"",""req"":3}]")</f>
        <v>"formula":[{"sku":"1307","req":3}]</v>
      </c>
      <c r="G937" s="0" t="n">
        <f aca="false">IFERROR(__xludf.dummyfunction("""COMPUTED_VALUE"""),1)</f>
        <v>1</v>
      </c>
      <c r="H937" s="21" t="str">
        <f aca="false">IFERROR(__xludf.dummyfunction("IF(D937,filter(Productos!AC:AC,Productos!A:A=B937),)"),"cocina")</f>
        <v>cocina</v>
      </c>
      <c r="I937" s="24" t="n">
        <f aca="false">IFERROR(__xludf.dummyfunction("""COMPUTED_VALUE"""),7900)</f>
        <v>7900</v>
      </c>
      <c r="K937" s="0" t="str">
        <f aca="false">IF(D937,"{""sku"":"""&amp;B937&amp;""", ""costo"":"&amp;C937&amp;", ""grupo"":"""&amp;A937&amp;""", ""lote"":"&amp;D937&amp;", ""tiempo"":"&amp;E937&amp;", "&amp;F937&amp;", ""vencimiento"":"&amp;G937&amp;IF(I937,", ""precio"":"&amp;I937,)&amp;", ""tipo"":"""&amp;H937&amp;"""},",)</f>
        <v>{"sku":"30001", "costo":10, "grupo":"13", "lote":1, "tiempo":10, "formula":[{"sku":"1307","req":3}], "vencimiento":1, "precio":7900, "tipo":"cocina"},</v>
      </c>
    </row>
    <row r="938" customFormat="false" ht="13" hidden="false" customHeight="false" outlineLevel="0" collapsed="false">
      <c r="A938" s="16" t="n">
        <v>13</v>
      </c>
      <c r="B938" s="0" t="n">
        <f aca="false">IFERROR(__xludf.dummyfunction("""COMPUTED_VALUE"""),30002)</f>
        <v>30002</v>
      </c>
      <c r="C938" s="24" t="n">
        <f aca="false">IFERROR(__xludf.dummyfunction("""COMPUTED_VALUE"""),10)</f>
        <v>10</v>
      </c>
      <c r="D938" s="0" t="n">
        <f aca="false">IFERROR(__xludf.dummyfunction("""COMPUTED_VALUE"""),1)</f>
        <v>1</v>
      </c>
      <c r="E938" s="0" t="n">
        <f aca="false">IFERROR(__xludf.dummyfunction("""COMPUTED_VALUE"""),10)</f>
        <v>10</v>
      </c>
      <c r="F938" s="0" t="str">
        <f aca="false">IFERROR(__xludf.dummyfunction("filter(Formulas!$C:$C,Formulas!$A:$A=B938)"),"""formula"":[{""sku"":""1307"",""req"":4}]")</f>
        <v>"formula":[{"sku":"1307","req":4}]</v>
      </c>
      <c r="G938" s="0" t="n">
        <f aca="false">IFERROR(__xludf.dummyfunction("""COMPUTED_VALUE"""),1)</f>
        <v>1</v>
      </c>
      <c r="H938" s="21" t="str">
        <f aca="false">IFERROR(__xludf.dummyfunction("IF(D938,filter(Productos!AC:AC,Productos!A:A=B938),)"),"cocina")</f>
        <v>cocina</v>
      </c>
      <c r="I938" s="24" t="n">
        <f aca="false">IFERROR(__xludf.dummyfunction("""COMPUTED_VALUE"""),9900)</f>
        <v>9900</v>
      </c>
      <c r="K938" s="0" t="str">
        <f aca="false">IF(D938,"{""sku"":"""&amp;B938&amp;""", ""costo"":"&amp;C938&amp;", ""grupo"":"""&amp;A938&amp;""", ""lote"":"&amp;D938&amp;", ""tiempo"":"&amp;E938&amp;", "&amp;F938&amp;", ""vencimiento"":"&amp;G938&amp;IF(I938,", ""precio"":"&amp;I938,)&amp;", ""tipo"":"""&amp;H938&amp;"""},",)</f>
        <v>{"sku":"30002", "costo":10, "grupo":"13", "lote":1, "tiempo":10, "formula":[{"sku":"1307","req":4}], "vencimiento":1, "precio":9900, "tipo":"cocina"},</v>
      </c>
    </row>
    <row r="939" customFormat="false" ht="13" hidden="false" customHeight="false" outlineLevel="0" collapsed="false">
      <c r="A939" s="17" t="n">
        <v>13</v>
      </c>
      <c r="B939" s="0" t="n">
        <f aca="false">IFERROR(__xludf.dummyfunction("""COMPUTED_VALUE"""),30003)</f>
        <v>30003</v>
      </c>
      <c r="C939" s="24" t="n">
        <f aca="false">IFERROR(__xludf.dummyfunction("""COMPUTED_VALUE"""),10)</f>
        <v>10</v>
      </c>
      <c r="D939" s="0" t="n">
        <f aca="false">IFERROR(__xludf.dummyfunction("""COMPUTED_VALUE"""),1)</f>
        <v>1</v>
      </c>
      <c r="E939" s="0" t="n">
        <f aca="false">IFERROR(__xludf.dummyfunction("""COMPUTED_VALUE"""),10)</f>
        <v>10</v>
      </c>
      <c r="F939" s="0" t="str">
        <f aca="false">IFERROR(__xludf.dummyfunction("filter(Formulas!$C:$C,Formulas!$A:$A=B939)"),"""formula"":[{""sku"":""1307"",""req"":5}]")</f>
        <v>"formula":[{"sku":"1307","req":5}]</v>
      </c>
      <c r="G939" s="0" t="n">
        <f aca="false">IFERROR(__xludf.dummyfunction("""COMPUTED_VALUE"""),1)</f>
        <v>1</v>
      </c>
      <c r="H939" s="21" t="str">
        <f aca="false">IFERROR(__xludf.dummyfunction("IF(D939,filter(Productos!AC:AC,Productos!A:A=B939),)"),"cocina")</f>
        <v>cocina</v>
      </c>
      <c r="I939" s="24" t="n">
        <f aca="false">IFERROR(__xludf.dummyfunction("""COMPUTED_VALUE"""),12500)</f>
        <v>12500</v>
      </c>
      <c r="K939" s="0" t="str">
        <f aca="false">IF(D939,"{""sku"":"""&amp;B939&amp;""", ""costo"":"&amp;C939&amp;", ""grupo"":"""&amp;A939&amp;""", ""lote"":"&amp;D939&amp;", ""tiempo"":"&amp;E939&amp;", "&amp;F939&amp;", ""vencimiento"":"&amp;G939&amp;IF(I939,", ""precio"":"&amp;I939,)&amp;", ""tipo"":"""&amp;H939&amp;"""},",)</f>
        <v>{"sku":"30003", "costo":10, "grupo":"13", "lote":1, "tiempo":10, "formula":[{"sku":"1307","req":5}], "vencimiento":1, "precio":12500, "tipo":"cocina"},</v>
      </c>
    </row>
    <row r="940" customFormat="false" ht="13" hidden="false" customHeight="false" outlineLevel="0" collapsed="false">
      <c r="A940" s="16" t="n">
        <v>13</v>
      </c>
      <c r="B940" s="0" t="n">
        <f aca="false">IFERROR(__xludf.dummyfunction("""COMPUTED_VALUE"""),30004)</f>
        <v>30004</v>
      </c>
      <c r="C940" s="24" t="n">
        <f aca="false">IFERROR(__xludf.dummyfunction("""COMPUTED_VALUE"""),10)</f>
        <v>10</v>
      </c>
      <c r="D940" s="0" t="n">
        <f aca="false">IFERROR(__xludf.dummyfunction("""COMPUTED_VALUE"""),1)</f>
        <v>1</v>
      </c>
      <c r="E940" s="0" t="n">
        <f aca="false">IFERROR(__xludf.dummyfunction("""COMPUTED_VALUE"""),10)</f>
        <v>10</v>
      </c>
      <c r="F940" s="0" t="str">
        <f aca="false">IFERROR(__xludf.dummyfunction("filter(Formulas!$C:$C,Formulas!$A:$A=B940)"),"""formula"":[{""sku"":""1309"",""req"":3}]")</f>
        <v>"formula":[{"sku":"1309","req":3}]</v>
      </c>
      <c r="G940" s="0" t="n">
        <f aca="false">IFERROR(__xludf.dummyfunction("""COMPUTED_VALUE"""),1)</f>
        <v>1</v>
      </c>
      <c r="H940" s="21" t="str">
        <f aca="false">IFERROR(__xludf.dummyfunction("IF(D940,filter(Productos!AC:AC,Productos!A:A=B940),)"),"cocina")</f>
        <v>cocina</v>
      </c>
      <c r="I940" s="24" t="n">
        <f aca="false">IFERROR(__xludf.dummyfunction("""COMPUTED_VALUE"""),7900)</f>
        <v>7900</v>
      </c>
      <c r="K940" s="0" t="str">
        <f aca="false">IF(D940,"{""sku"":"""&amp;B940&amp;""", ""costo"":"&amp;C940&amp;", ""grupo"":"""&amp;A940&amp;""", ""lote"":"&amp;D940&amp;", ""tiempo"":"&amp;E940&amp;", "&amp;F940&amp;", ""vencimiento"":"&amp;G940&amp;IF(I940,", ""precio"":"&amp;I940,)&amp;", ""tipo"":"""&amp;H940&amp;"""},",)</f>
        <v>{"sku":"30004", "costo":10, "grupo":"13", "lote":1, "tiempo":10, "formula":[{"sku":"1309","req":3}], "vencimiento":1, "precio":7900, "tipo":"cocina"},</v>
      </c>
    </row>
    <row r="941" customFormat="false" ht="13" hidden="false" customHeight="false" outlineLevel="0" collapsed="false">
      <c r="A941" s="17" t="n">
        <v>13</v>
      </c>
      <c r="B941" s="0" t="n">
        <f aca="false">IFERROR(__xludf.dummyfunction("""COMPUTED_VALUE"""),30005)</f>
        <v>30005</v>
      </c>
      <c r="C941" s="24" t="n">
        <f aca="false">IFERROR(__xludf.dummyfunction("""COMPUTED_VALUE"""),10)</f>
        <v>10</v>
      </c>
      <c r="D941" s="0" t="n">
        <f aca="false">IFERROR(__xludf.dummyfunction("""COMPUTED_VALUE"""),1)</f>
        <v>1</v>
      </c>
      <c r="E941" s="0" t="n">
        <f aca="false">IFERROR(__xludf.dummyfunction("""COMPUTED_VALUE"""),10)</f>
        <v>10</v>
      </c>
      <c r="F941" s="0" t="str">
        <f aca="false">IFERROR(__xludf.dummyfunction("filter(Formulas!$C:$C,Formulas!$A:$A=B941)"),"""formula"":[{""sku"":""1309"",""req"":4}]")</f>
        <v>"formula":[{"sku":"1309","req":4}]</v>
      </c>
      <c r="G941" s="0" t="n">
        <f aca="false">IFERROR(__xludf.dummyfunction("""COMPUTED_VALUE"""),1)</f>
        <v>1</v>
      </c>
      <c r="H941" s="21" t="str">
        <f aca="false">IFERROR(__xludf.dummyfunction("IF(D941,filter(Productos!AC:AC,Productos!A:A=B941),)"),"cocina")</f>
        <v>cocina</v>
      </c>
      <c r="I941" s="24" t="n">
        <f aca="false">IFERROR(__xludf.dummyfunction("""COMPUTED_VALUE"""),9900)</f>
        <v>9900</v>
      </c>
      <c r="K941" s="0" t="str">
        <f aca="false">IF(D941,"{""sku"":"""&amp;B941&amp;""", ""costo"":"&amp;C941&amp;", ""grupo"":"""&amp;A941&amp;""", ""lote"":"&amp;D941&amp;", ""tiempo"":"&amp;E941&amp;", "&amp;F941&amp;", ""vencimiento"":"&amp;G941&amp;IF(I941,", ""precio"":"&amp;I941,)&amp;", ""tipo"":"""&amp;H941&amp;"""},",)</f>
        <v>{"sku":"30005", "costo":10, "grupo":"13", "lote":1, "tiempo":10, "formula":[{"sku":"1309","req":4}], "vencimiento":1, "precio":9900, "tipo":"cocina"},</v>
      </c>
    </row>
    <row r="942" customFormat="false" ht="13" hidden="false" customHeight="false" outlineLevel="0" collapsed="false">
      <c r="A942" s="17" t="n">
        <v>13</v>
      </c>
      <c r="B942" s="0" t="n">
        <f aca="false">IFERROR(__xludf.dummyfunction("""COMPUTED_VALUE"""),30006)</f>
        <v>30006</v>
      </c>
      <c r="C942" s="24" t="n">
        <f aca="false">IFERROR(__xludf.dummyfunction("""COMPUTED_VALUE"""),10)</f>
        <v>10</v>
      </c>
      <c r="D942" s="0" t="n">
        <f aca="false">IFERROR(__xludf.dummyfunction("""COMPUTED_VALUE"""),1)</f>
        <v>1</v>
      </c>
      <c r="E942" s="0" t="n">
        <f aca="false">IFERROR(__xludf.dummyfunction("""COMPUTED_VALUE"""),10)</f>
        <v>10</v>
      </c>
      <c r="F942" s="0" t="str">
        <f aca="false">IFERROR(__xludf.dummyfunction("filter(Formulas!$C:$C,Formulas!$A:$A=B942)"),"""formula"":[{""sku"":""1309"",""req"":5}]")</f>
        <v>"formula":[{"sku":"1309","req":5}]</v>
      </c>
      <c r="G942" s="0" t="n">
        <f aca="false">IFERROR(__xludf.dummyfunction("""COMPUTED_VALUE"""),1)</f>
        <v>1</v>
      </c>
      <c r="H942" s="21" t="str">
        <f aca="false">IFERROR(__xludf.dummyfunction("IF(D942,filter(Productos!AC:AC,Productos!A:A=B942),)"),"cocina")</f>
        <v>cocina</v>
      </c>
      <c r="I942" s="24" t="n">
        <f aca="false">IFERROR(__xludf.dummyfunction("""COMPUTED_VALUE"""),12500)</f>
        <v>12500</v>
      </c>
      <c r="K942" s="0" t="str">
        <f aca="false">IF(D942,"{""sku"":"""&amp;B942&amp;""", ""costo"":"&amp;C942&amp;", ""grupo"":"""&amp;A942&amp;""", ""lote"":"&amp;D942&amp;", ""tiempo"":"&amp;E942&amp;", "&amp;F942&amp;", ""vencimiento"":"&amp;G942&amp;IF(I942,", ""precio"":"&amp;I942,)&amp;", ""tipo"":"""&amp;H942&amp;"""},",)</f>
        <v>{"sku":"30006", "costo":10, "grupo":"13", "lote":1, "tiempo":10, "formula":[{"sku":"1309","req":5}], "vencimiento":1, "precio":12500, "tipo":"cocina"},</v>
      </c>
    </row>
    <row r="943" customFormat="false" ht="13" hidden="false" customHeight="false" outlineLevel="0" collapsed="false">
      <c r="A943" s="17" t="n">
        <v>13</v>
      </c>
      <c r="B943" s="0" t="n">
        <f aca="false">IFERROR(__xludf.dummyfunction("""COMPUTED_VALUE"""),30007)</f>
        <v>30007</v>
      </c>
      <c r="C943" s="24" t="n">
        <f aca="false">IFERROR(__xludf.dummyfunction("""COMPUTED_VALUE"""),10)</f>
        <v>10</v>
      </c>
      <c r="D943" s="0" t="n">
        <f aca="false">IFERROR(__xludf.dummyfunction("""COMPUTED_VALUE"""),1)</f>
        <v>1</v>
      </c>
      <c r="E943" s="0" t="n">
        <f aca="false">IFERROR(__xludf.dummyfunction("""COMPUTED_VALUE"""),10)</f>
        <v>10</v>
      </c>
      <c r="F943" s="0" t="str">
        <f aca="false">IFERROR(__xludf.dummyfunction("filter(Formulas!$C:$C,Formulas!$A:$A=B943)"),"""formula"":[{""sku"":""1309"",""req"":2},{""sku"":""1307"",""req"":2}]")</f>
        <v>"formula":[{"sku":"1309","req":2},{"sku":"1307","req":2}]</v>
      </c>
      <c r="G943" s="0" t="n">
        <f aca="false">IFERROR(__xludf.dummyfunction("""COMPUTED_VALUE"""),1)</f>
        <v>1</v>
      </c>
      <c r="H943" s="21" t="str">
        <f aca="false">IFERROR(__xludf.dummyfunction("IF(D943,filter(Productos!AC:AC,Productos!A:A=B943),)"),"cocina")</f>
        <v>cocina</v>
      </c>
      <c r="I943" s="24" t="n">
        <f aca="false">IFERROR(__xludf.dummyfunction("""COMPUTED_VALUE"""),9900)</f>
        <v>9900</v>
      </c>
      <c r="K943" s="0" t="str">
        <f aca="false">IF(D943,"{""sku"":"""&amp;B943&amp;""", ""costo"":"&amp;C943&amp;", ""grupo"":"""&amp;A943&amp;""", ""lote"":"&amp;D943&amp;", ""tiempo"":"&amp;E943&amp;", "&amp;F943&amp;", ""vencimiento"":"&amp;G943&amp;IF(I943,", ""precio"":"&amp;I943,)&amp;", ""tipo"":"""&amp;H943&amp;"""},",)</f>
        <v>{"sku":"30007", "costo":10, "grupo":"13", "lote":1, "tiempo":10, "formula":[{"sku":"1309","req":2},{"sku":"1307","req":2}], "vencimiento":1, "precio":9900, "tipo":"cocina"},</v>
      </c>
    </row>
    <row r="944" customFormat="false" ht="13" hidden="false" customHeight="false" outlineLevel="0" collapsed="false">
      <c r="A944" s="17" t="n">
        <v>13</v>
      </c>
      <c r="B944" s="0" t="n">
        <f aca="false">IFERROR(__xludf.dummyfunction("""COMPUTED_VALUE"""),30008)</f>
        <v>30008</v>
      </c>
      <c r="C944" s="24" t="n">
        <f aca="false">IFERROR(__xludf.dummyfunction("""COMPUTED_VALUE"""),10)</f>
        <v>10</v>
      </c>
      <c r="D944" s="0" t="n">
        <f aca="false">IFERROR(__xludf.dummyfunction("""COMPUTED_VALUE"""),1)</f>
        <v>1</v>
      </c>
      <c r="E944" s="0" t="n">
        <f aca="false">IFERROR(__xludf.dummyfunction("""COMPUTED_VALUE"""),10)</f>
        <v>10</v>
      </c>
      <c r="F944" s="0" t="str">
        <f aca="false">IFERROR(__xludf.dummyfunction("filter(Formulas!$C:$C,Formulas!$A:$A=B944)"),"""formula"":[{""sku"":""1309"",""req"":3},{""sku"":""1307"",""req"":3}]")</f>
        <v>"formula":[{"sku":"1309","req":3},{"sku":"1307","req":3}]</v>
      </c>
      <c r="G944" s="0" t="n">
        <f aca="false">IFERROR(__xludf.dummyfunction("""COMPUTED_VALUE"""),1)</f>
        <v>1</v>
      </c>
      <c r="H944" s="21" t="str">
        <f aca="false">IFERROR(__xludf.dummyfunction("IF(D944,filter(Productos!AC:AC,Productos!A:A=B944),)"),"cocina")</f>
        <v>cocina</v>
      </c>
      <c r="I944" s="24" t="n">
        <f aca="false">IFERROR(__xludf.dummyfunction("""COMPUTED_VALUE"""),15990)</f>
        <v>15990</v>
      </c>
      <c r="K944" s="0" t="str">
        <f aca="false">IF(D944,"{""sku"":"""&amp;B944&amp;""", ""costo"":"&amp;C944&amp;", ""grupo"":"""&amp;A944&amp;""", ""lote"":"&amp;D944&amp;", ""tiempo"":"&amp;E944&amp;", "&amp;F944&amp;", ""vencimiento"":"&amp;G944&amp;IF(I944,", ""precio"":"&amp;I944,)&amp;", ""tipo"":"""&amp;H944&amp;"""},",)</f>
        <v>{"sku":"30008", "costo":10, "grupo":"13", "lote":1, "tiempo":10, "formula":[{"sku":"1309","req":3},{"sku":"1307","req":3}], "vencimiento":1, "precio":15990, "tipo":"cocina"},</v>
      </c>
    </row>
    <row r="945" customFormat="false" ht="13" hidden="false" customHeight="false" outlineLevel="0" collapsed="false">
      <c r="H945" s="21" t="str">
        <f aca="false">IFERROR(__xludf.dummyfunction("IF(D945,filter(Productos!AC:AC,Productos!A:A=B945),)"),"")</f>
        <v/>
      </c>
      <c r="K945" s="0" t="n">
        <f aca="false">IF(D945,"{""sku"":"""&amp;B945&amp;""", ""costo"":"&amp;C945&amp;", ""grupo"":"""&amp;A945&amp;""", ""lote"":"&amp;D945&amp;", ""tiempo"":"&amp;E945&amp;", "&amp;F945&amp;", ""vencimiento"":"&amp;G945&amp;IF(I945,", ""precio"":"&amp;I945,)&amp;", ""tipo"":"""&amp;H945&amp;"""},",)</f>
        <v>0</v>
      </c>
    </row>
    <row r="946" customFormat="false" ht="13" hidden="false" customHeight="false" outlineLevel="0" collapsed="false">
      <c r="A946" s="22" t="s">
        <v>264</v>
      </c>
      <c r="B946" s="16" t="s">
        <v>265</v>
      </c>
      <c r="C946" s="16"/>
      <c r="D946" s="16"/>
      <c r="E946" s="16"/>
      <c r="F946" s="16"/>
      <c r="G946" s="25"/>
      <c r="H946" s="21" t="str">
        <f aca="false">IFERROR(__xludf.dummyfunction("IF(D946,filter(Productos!AC:AC,Productos!A:A=B946),)"),"")</f>
        <v/>
      </c>
      <c r="K946" s="0" t="n">
        <f aca="false">IF(D946,"{""sku"":"""&amp;B946&amp;""", ""costo"":"&amp;C946&amp;", ""grupo"":"""&amp;A946&amp;""", ""lote"":"&amp;D946&amp;", ""tiempo"":"&amp;E946&amp;", "&amp;F946&amp;", ""vencimiento"":"&amp;G946&amp;IF(I946,", ""precio"":"&amp;I946,)&amp;", ""tipo"":"""&amp;H946&amp;"""},",)</f>
        <v>0</v>
      </c>
    </row>
    <row r="947" customFormat="false" ht="13" hidden="false" customHeight="false" outlineLevel="0" collapsed="false">
      <c r="A947" s="17" t="n">
        <v>14</v>
      </c>
      <c r="B947" s="17" t="n">
        <f aca="false">IFERROR(__xludf.dummyfunction("filter(Productos!$A$2:$A1017,INDIRECT(B946))"),1001)</f>
        <v>1001</v>
      </c>
      <c r="C947" s="24" t="n">
        <f aca="false">IFERROR(__xludf.dummyfunction("filter(Productos!$D$2:$D1017,INDIRECT(B946))"),3000)</f>
        <v>3000</v>
      </c>
      <c r="D947" s="17" t="n">
        <f aca="false">IFERROR(__xludf.dummyfunction("filter(Productos!$K$2:$L1017,INDIRECT(B946))"),10)</f>
        <v>10</v>
      </c>
      <c r="E947" s="17" t="n">
        <f aca="false">IFERROR(__xludf.dummyfunction("""COMPUTED_VALUE"""),240)</f>
        <v>240</v>
      </c>
      <c r="F947" s="16" t="str">
        <f aca="false">IFERROR(__xludf.dummyfunction("filter(Formulas!$C:$C,Formulas!$A:$A=B947)"),"""formula"":null")</f>
        <v>"formula":null</v>
      </c>
      <c r="G947" s="26" t="n">
        <f aca="false">IFERROR(__xludf.dummyfunction("filter(Productos!$H$2:$H1017,INDIRECT(B946))"),720)</f>
        <v>720</v>
      </c>
      <c r="H947" s="21" t="str">
        <f aca="false">IFERROR(__xludf.dummyfunction("IF(D947,filter(Productos!AC:AC,Productos!A:A=B947),)"),"fabrica")</f>
        <v>fabrica</v>
      </c>
      <c r="I947" s="24" t="str">
        <f aca="false">IFERROR(__xludf.dummyfunction("filter(Productos!$E$2:$E1017,INDIRECT(B946))"),"")</f>
        <v/>
      </c>
      <c r="K947" s="0" t="e">
        <f aca="false">IF(D947,"{""sku"":"""&amp;B947&amp;""", ""costo"":"&amp;C947&amp;", ""grupo"":"""&amp;A947&amp;""", ""lote"":"&amp;D947&amp;", ""tiempo"":"&amp;E947&amp;", "&amp;F947&amp;", ""vencimiento"":"&amp;G947&amp;IF(I947,", ""precio"":"&amp;I947,)&amp;", ""tipo"":"""&amp;H947&amp;"""},",)</f>
        <v>#VALUE!</v>
      </c>
    </row>
    <row r="948" customFormat="false" ht="13" hidden="false" customHeight="false" outlineLevel="0" collapsed="false">
      <c r="A948" s="16" t="n">
        <v>14</v>
      </c>
      <c r="B948" s="0" t="n">
        <f aca="false">IFERROR(__xludf.dummyfunction("""COMPUTED_VALUE"""),1004)</f>
        <v>1004</v>
      </c>
      <c r="C948" s="24" t="n">
        <f aca="false">IFERROR(__xludf.dummyfunction("""COMPUTED_VALUE"""),2190)</f>
        <v>2190</v>
      </c>
      <c r="D948" s="0" t="n">
        <f aca="false">IFERROR(__xludf.dummyfunction("""COMPUTED_VALUE"""),100)</f>
        <v>100</v>
      </c>
      <c r="E948" s="0" t="n">
        <f aca="false">IFERROR(__xludf.dummyfunction("""COMPUTED_VALUE"""),400)</f>
        <v>400</v>
      </c>
      <c r="F948" s="0" t="str">
        <f aca="false">IFERROR(__xludf.dummyfunction("filter(Formulas!$C:$C,Formulas!$A:$A=B948)"),"""formula"":null")</f>
        <v>"formula":null</v>
      </c>
      <c r="G948" s="0" t="n">
        <f aca="false">IFERROR(__xludf.dummyfunction("""COMPUTED_VALUE"""),720)</f>
        <v>720</v>
      </c>
      <c r="H948" s="21" t="str">
        <f aca="false">IFERROR(__xludf.dummyfunction("IF(D948,filter(Productos!AC:AC,Productos!A:A=B948),)"),"fabrica")</f>
        <v>fabrica</v>
      </c>
      <c r="I948" s="24" t="str">
        <f aca="false">IFERROR(__xludf.dummyfunction("""COMPUTED_VALUE"""),"")</f>
        <v/>
      </c>
      <c r="K948" s="0" t="e">
        <f aca="false">IF(D948,"{""sku"":"""&amp;B948&amp;""", ""costo"":"&amp;C948&amp;", ""grupo"":"""&amp;A948&amp;""", ""lote"":"&amp;D948&amp;", ""tiempo"":"&amp;E948&amp;", "&amp;F948&amp;", ""vencimiento"":"&amp;G948&amp;IF(I948,", ""precio"":"&amp;I948,)&amp;", ""tipo"":"""&amp;H948&amp;"""},",)</f>
        <v>#VALUE!</v>
      </c>
    </row>
    <row r="949" customFormat="false" ht="13" hidden="false" customHeight="false" outlineLevel="0" collapsed="false">
      <c r="A949" s="17" t="n">
        <v>14</v>
      </c>
      <c r="B949" s="0" t="n">
        <f aca="false">IFERROR(__xludf.dummyfunction("""COMPUTED_VALUE"""),1008)</f>
        <v>1008</v>
      </c>
      <c r="C949" s="24" t="n">
        <f aca="false">IFERROR(__xludf.dummyfunction("""COMPUTED_VALUE"""),21990)</f>
        <v>21990</v>
      </c>
      <c r="D949" s="0" t="n">
        <f aca="false">IFERROR(__xludf.dummyfunction("""COMPUTED_VALUE"""),10)</f>
        <v>10</v>
      </c>
      <c r="E949" s="0" t="n">
        <f aca="false">IFERROR(__xludf.dummyfunction("""COMPUTED_VALUE"""),220)</f>
        <v>220</v>
      </c>
      <c r="F949" s="0" t="str">
        <f aca="false">IFERROR(__xludf.dummyfunction("filter(Formulas!$C:$C,Formulas!$A:$A=B949)"),"""formula"":null")</f>
        <v>"formula":null</v>
      </c>
      <c r="G949" s="0" t="n">
        <f aca="false">IFERROR(__xludf.dummyfunction("""COMPUTED_VALUE"""),48)</f>
        <v>48</v>
      </c>
      <c r="H949" s="21" t="str">
        <f aca="false">IFERROR(__xludf.dummyfunction("IF(D949,filter(Productos!AC:AC,Productos!A:A=B949),)"),"fabrica")</f>
        <v>fabrica</v>
      </c>
      <c r="I949" s="24" t="str">
        <f aca="false">IFERROR(__xludf.dummyfunction("""COMPUTED_VALUE"""),"")</f>
        <v/>
      </c>
      <c r="K949" s="0" t="e">
        <f aca="false">IF(D949,"{""sku"":"""&amp;B949&amp;""", ""costo"":"&amp;C949&amp;", ""grupo"":"""&amp;A949&amp;""", ""lote"":"&amp;D949&amp;", ""tiempo"":"&amp;E949&amp;", "&amp;F949&amp;", ""vencimiento"":"&amp;G949&amp;IF(I949,", ""precio"":"&amp;I949,)&amp;", ""tipo"":"""&amp;H949&amp;"""},",)</f>
        <v>#VALUE!</v>
      </c>
    </row>
    <row r="950" customFormat="false" ht="13" hidden="false" customHeight="false" outlineLevel="0" collapsed="false">
      <c r="A950" s="16" t="n">
        <v>14</v>
      </c>
      <c r="B950" s="0" t="n">
        <f aca="false">IFERROR(__xludf.dummyfunction("""COMPUTED_VALUE"""),1009)</f>
        <v>1009</v>
      </c>
      <c r="C950" s="24" t="n">
        <f aca="false">IFERROR(__xludf.dummyfunction("""COMPUTED_VALUE"""),14370)</f>
        <v>14370</v>
      </c>
      <c r="D950" s="0" t="n">
        <f aca="false">IFERROR(__xludf.dummyfunction("""COMPUTED_VALUE"""),3)</f>
        <v>3</v>
      </c>
      <c r="E950" s="0" t="n">
        <f aca="false">IFERROR(__xludf.dummyfunction("""COMPUTED_VALUE"""),400)</f>
        <v>400</v>
      </c>
      <c r="F950" s="0" t="str">
        <f aca="false">IFERROR(__xludf.dummyfunction("filter(Formulas!$C:$C,Formulas!$A:$A=B950)"),"""formula"":null")</f>
        <v>"formula":null</v>
      </c>
      <c r="G950" s="0" t="n">
        <f aca="false">IFERROR(__xludf.dummyfunction("""COMPUTED_VALUE"""),15)</f>
        <v>15</v>
      </c>
      <c r="H950" s="21" t="str">
        <f aca="false">IFERROR(__xludf.dummyfunction("IF(D950,filter(Productos!AC:AC,Productos!A:A=B950),)"),"fabrica")</f>
        <v>fabrica</v>
      </c>
      <c r="I950" s="24" t="str">
        <f aca="false">IFERROR(__xludf.dummyfunction("""COMPUTED_VALUE"""),"")</f>
        <v/>
      </c>
      <c r="K950" s="0" t="e">
        <f aca="false">IF(D950,"{""sku"":"""&amp;B950&amp;""", ""costo"":"&amp;C950&amp;", ""grupo"":"""&amp;A950&amp;""", ""lote"":"&amp;D950&amp;", ""tiempo"":"&amp;E950&amp;", "&amp;F950&amp;", ""vencimiento"":"&amp;G950&amp;IF(I950,", ""precio"":"&amp;I950,)&amp;", ""tipo"":"""&amp;H950&amp;"""},",)</f>
        <v>#VALUE!</v>
      </c>
    </row>
    <row r="951" customFormat="false" ht="13" hidden="false" customHeight="false" outlineLevel="0" collapsed="false">
      <c r="A951" s="17" t="n">
        <v>14</v>
      </c>
      <c r="B951" s="0" t="n">
        <f aca="false">IFERROR(__xludf.dummyfunction("""COMPUTED_VALUE"""),1012)</f>
        <v>1012</v>
      </c>
      <c r="C951" s="24" t="n">
        <f aca="false">IFERROR(__xludf.dummyfunction("""COMPUTED_VALUE"""),9990)</f>
        <v>9990</v>
      </c>
      <c r="D951" s="0" t="n">
        <f aca="false">IFERROR(__xludf.dummyfunction("""COMPUTED_VALUE"""),7)</f>
        <v>7</v>
      </c>
      <c r="E951" s="0" t="n">
        <f aca="false">IFERROR(__xludf.dummyfunction("""COMPUTED_VALUE"""),150)</f>
        <v>150</v>
      </c>
      <c r="F951" s="0" t="str">
        <f aca="false">IFERROR(__xludf.dummyfunction("filter(Formulas!$C:$C,Formulas!$A:$A=B951)"),"""formula"":null")</f>
        <v>"formula":null</v>
      </c>
      <c r="G951" s="0" t="n">
        <f aca="false">IFERROR(__xludf.dummyfunction("""COMPUTED_VALUE"""),72)</f>
        <v>72</v>
      </c>
      <c r="H951" s="21" t="str">
        <f aca="false">IFERROR(__xludf.dummyfunction("IF(D951,filter(Productos!AC:AC,Productos!A:A=B951),)"),"fabrica")</f>
        <v>fabrica</v>
      </c>
      <c r="I951" s="24" t="str">
        <f aca="false">IFERROR(__xludf.dummyfunction("""COMPUTED_VALUE"""),"")</f>
        <v/>
      </c>
      <c r="K951" s="0" t="e">
        <f aca="false">IF(D951,"{""sku"":"""&amp;B951&amp;""", ""costo"":"&amp;C951&amp;", ""grupo"":"""&amp;A951&amp;""", ""lote"":"&amp;D951&amp;", ""tiempo"":"&amp;E951&amp;", "&amp;F951&amp;", ""vencimiento"":"&amp;G951&amp;IF(I951,", ""precio"":"&amp;I951,)&amp;", ""tipo"":"""&amp;H951&amp;"""},",)</f>
        <v>#VALUE!</v>
      </c>
    </row>
    <row r="952" customFormat="false" ht="13" hidden="false" customHeight="false" outlineLevel="0" collapsed="false">
      <c r="A952" s="16" t="n">
        <v>14</v>
      </c>
      <c r="B952" s="0" t="n">
        <f aca="false">IFERROR(__xludf.dummyfunction("""COMPUTED_VALUE"""),1013)</f>
        <v>1013</v>
      </c>
      <c r="C952" s="24" t="n">
        <f aca="false">IFERROR(__xludf.dummyfunction("""COMPUTED_VALUE"""),1400)</f>
        <v>1400</v>
      </c>
      <c r="D952" s="0" t="n">
        <f aca="false">IFERROR(__xludf.dummyfunction("""COMPUTED_VALUE"""),10)</f>
        <v>10</v>
      </c>
      <c r="E952" s="0" t="n">
        <f aca="false">IFERROR(__xludf.dummyfunction("""COMPUTED_VALUE"""),320)</f>
        <v>320</v>
      </c>
      <c r="F952" s="0" t="str">
        <f aca="false">IFERROR(__xludf.dummyfunction("filter(Formulas!$C:$C,Formulas!$A:$A=B952)"),"""formula"":null")</f>
        <v>"formula":null</v>
      </c>
      <c r="G952" s="0" t="n">
        <f aca="false">IFERROR(__xludf.dummyfunction("""COMPUTED_VALUE"""),12)</f>
        <v>12</v>
      </c>
      <c r="H952" s="21" t="str">
        <f aca="false">IFERROR(__xludf.dummyfunction("IF(D952,filter(Productos!AC:AC,Productos!A:A=B952),)"),"fabrica")</f>
        <v>fabrica</v>
      </c>
      <c r="I952" s="24" t="str">
        <f aca="false">IFERROR(__xludf.dummyfunction("""COMPUTED_VALUE"""),"")</f>
        <v/>
      </c>
      <c r="K952" s="0" t="e">
        <f aca="false">IF(D952,"{""sku"":"""&amp;B952&amp;""", ""costo"":"&amp;C952&amp;", ""grupo"":"""&amp;A952&amp;""", ""lote"":"&amp;D952&amp;", ""tiempo"":"&amp;E952&amp;", "&amp;F952&amp;", ""vencimiento"":"&amp;G952&amp;IF(I952,", ""precio"":"&amp;I952,)&amp;", ""tipo"":"""&amp;H952&amp;"""},",)</f>
        <v>#VALUE!</v>
      </c>
    </row>
    <row r="953" customFormat="false" ht="13" hidden="false" customHeight="false" outlineLevel="0" collapsed="false">
      <c r="A953" s="17" t="n">
        <v>14</v>
      </c>
      <c r="B953" s="0" t="n">
        <f aca="false">IFERROR(__xludf.dummyfunction("""COMPUTED_VALUE"""),1015)</f>
        <v>1015</v>
      </c>
      <c r="C953" s="24" t="n">
        <f aca="false">IFERROR(__xludf.dummyfunction("""COMPUTED_VALUE"""),350)</f>
        <v>350</v>
      </c>
      <c r="D953" s="0" t="n">
        <f aca="false">IFERROR(__xludf.dummyfunction("""COMPUTED_VALUE"""),4)</f>
        <v>4</v>
      </c>
      <c r="E953" s="0" t="n">
        <f aca="false">IFERROR(__xludf.dummyfunction("""COMPUTED_VALUE"""),400)</f>
        <v>400</v>
      </c>
      <c r="F953" s="0" t="str">
        <f aca="false">IFERROR(__xludf.dummyfunction("filter(Formulas!$C:$C,Formulas!$A:$A=B953)"),"""formula"":null")</f>
        <v>"formula":null</v>
      </c>
      <c r="G953" s="0" t="n">
        <f aca="false">IFERROR(__xludf.dummyfunction("""COMPUTED_VALUE"""),30)</f>
        <v>30</v>
      </c>
      <c r="H953" s="21" t="str">
        <f aca="false">IFERROR(__xludf.dummyfunction("IF(D953,filter(Productos!AC:AC,Productos!A:A=B953),)"),"fabrica")</f>
        <v>fabrica</v>
      </c>
      <c r="I953" s="24" t="str">
        <f aca="false">IFERROR(__xludf.dummyfunction("""COMPUTED_VALUE"""),"")</f>
        <v/>
      </c>
      <c r="K953" s="0" t="e">
        <f aca="false">IF(D953,"{""sku"":"""&amp;B953&amp;""", ""costo"":"&amp;C953&amp;", ""grupo"":"""&amp;A953&amp;""", ""lote"":"&amp;D953&amp;", ""tiempo"":"&amp;E953&amp;", "&amp;F953&amp;", ""vencimiento"":"&amp;G953&amp;IF(I953,", ""precio"":"&amp;I953,)&amp;", ""tipo"":"""&amp;H953&amp;"""},",)</f>
        <v>#VALUE!</v>
      </c>
    </row>
    <row r="954" customFormat="false" ht="13" hidden="false" customHeight="false" outlineLevel="0" collapsed="false">
      <c r="A954" s="16" t="n">
        <v>14</v>
      </c>
      <c r="B954" s="0" t="n">
        <f aca="false">IFERROR(__xludf.dummyfunction("""COMPUTED_VALUE"""),1016)</f>
        <v>1016</v>
      </c>
      <c r="C954" s="24" t="n">
        <f aca="false">IFERROR(__xludf.dummyfunction("""COMPUTED_VALUE"""),2790)</f>
        <v>2790</v>
      </c>
      <c r="D954" s="0" t="n">
        <f aca="false">IFERROR(__xludf.dummyfunction("""COMPUTED_VALUE"""),8)</f>
        <v>8</v>
      </c>
      <c r="E954" s="0" t="n">
        <f aca="false">IFERROR(__xludf.dummyfunction("""COMPUTED_VALUE"""),600)</f>
        <v>600</v>
      </c>
      <c r="F954" s="0" t="str">
        <f aca="false">IFERROR(__xludf.dummyfunction("filter(Formulas!$C:$C,Formulas!$A:$A=B954)"),"""formula"":null")</f>
        <v>"formula":null</v>
      </c>
      <c r="G954" s="0" t="n">
        <f aca="false">IFERROR(__xludf.dummyfunction("""COMPUTED_VALUE"""),240)</f>
        <v>240</v>
      </c>
      <c r="H954" s="21" t="str">
        <f aca="false">IFERROR(__xludf.dummyfunction("IF(D954,filter(Productos!AC:AC,Productos!A:A=B954),)"),"fabrica")</f>
        <v>fabrica</v>
      </c>
      <c r="I954" s="0" t="str">
        <f aca="false">IFERROR(__xludf.dummyfunction("""COMPUTED_VALUE"""),"")</f>
        <v/>
      </c>
      <c r="K954" s="0" t="e">
        <f aca="false">IF(D954,"{""sku"":"""&amp;B954&amp;""", ""costo"":"&amp;C954&amp;", ""grupo"":"""&amp;A954&amp;""", ""lote"":"&amp;D954&amp;", ""tiempo"":"&amp;E954&amp;", "&amp;F954&amp;", ""vencimiento"":"&amp;G954&amp;IF(I954,", ""precio"":"&amp;I954,)&amp;", ""tipo"":"""&amp;H954&amp;"""},",)</f>
        <v>#VALUE!</v>
      </c>
    </row>
    <row r="955" customFormat="false" ht="13" hidden="false" customHeight="false" outlineLevel="0" collapsed="false">
      <c r="A955" s="17" t="n">
        <v>14</v>
      </c>
      <c r="B955" s="0" t="n">
        <f aca="false">IFERROR(__xludf.dummyfunction("""COMPUTED_VALUE"""),1101)</f>
        <v>1101</v>
      </c>
      <c r="C955" s="24" t="n">
        <f aca="false">IFERROR(__xludf.dummyfunction("""COMPUTED_VALUE"""),500)</f>
        <v>500</v>
      </c>
      <c r="D955" s="0" t="n">
        <f aca="false">IFERROR(__xludf.dummyfunction("""COMPUTED_VALUE"""),10)</f>
        <v>10</v>
      </c>
      <c r="E955" s="0" t="n">
        <f aca="false">IFERROR(__xludf.dummyfunction("""COMPUTED_VALUE"""),40)</f>
        <v>40</v>
      </c>
      <c r="F955" s="0" t="str">
        <f aca="false">IFERROR(__xludf.dummyfunction("filter(Formulas!$C:$C,Formulas!$A:$A=B955)"),"""formula"":[{""sku"":""1001"",""req"":8},{""sku"":""1003"",""req"":3},{""sku"":""1004"",""req"":2},{""sku"":""1002"",""req"":4}]")</f>
        <v>"formula":[{"sku":"1001","req":8},{"sku":"1003","req":3},{"sku":"1004","req":2},{"sku":"1002","req":4}]</v>
      </c>
      <c r="G955" s="0" t="n">
        <f aca="false">IFERROR(__xludf.dummyfunction("""COMPUTED_VALUE"""),3)</f>
        <v>3</v>
      </c>
      <c r="H955" s="21" t="str">
        <f aca="false">IFERROR(__xludf.dummyfunction("IF(D955,filter(Productos!AC:AC,Productos!A:A=B955),)"),"fabrica")</f>
        <v>fabrica</v>
      </c>
      <c r="I955" s="24" t="str">
        <f aca="false">IFERROR(__xludf.dummyfunction("""COMPUTED_VALUE"""),"")</f>
        <v/>
      </c>
      <c r="K955" s="0" t="e">
        <f aca="false">IF(D955,"{""sku"":"""&amp;B955&amp;""", ""costo"":"&amp;C955&amp;", ""grupo"":"""&amp;A955&amp;""", ""lote"":"&amp;D955&amp;", ""tiempo"":"&amp;E955&amp;", "&amp;F955&amp;", ""vencimiento"":"&amp;G955&amp;IF(I955,", ""precio"":"&amp;I955,)&amp;", ""tipo"":"""&amp;H955&amp;"""},",)</f>
        <v>#VALUE!</v>
      </c>
    </row>
    <row r="956" customFormat="false" ht="13" hidden="false" customHeight="false" outlineLevel="0" collapsed="false">
      <c r="A956" s="16" t="n">
        <v>14</v>
      </c>
      <c r="B956" s="0" t="n">
        <f aca="false">IFERROR(__xludf.dummyfunction("""COMPUTED_VALUE"""),1105)</f>
        <v>1105</v>
      </c>
      <c r="C956" s="24" t="n">
        <f aca="false">IFERROR(__xludf.dummyfunction("""COMPUTED_VALUE"""),10)</f>
        <v>10</v>
      </c>
      <c r="D956" s="0" t="n">
        <f aca="false">IFERROR(__xludf.dummyfunction("""COMPUTED_VALUE"""),10)</f>
        <v>10</v>
      </c>
      <c r="E956" s="0" t="n">
        <f aca="false">IFERROR(__xludf.dummyfunction("""COMPUTED_VALUE"""),10)</f>
        <v>10</v>
      </c>
      <c r="F956" s="0" t="str">
        <f aca="false">IFERROR(__xludf.dummyfunction("filter(Formulas!$C:$C,Formulas!$A:$A=B956)"),"""formula"":[{""sku"":""1005"",""req"":1}]")</f>
        <v>"formula":[{"sku":"1005","req":1}]</v>
      </c>
      <c r="G956" s="0" t="n">
        <f aca="false">IFERROR(__xludf.dummyfunction("""COMPUTED_VALUE"""),3)</f>
        <v>3</v>
      </c>
      <c r="H956" s="21" t="str">
        <f aca="false">IFERROR(__xludf.dummyfunction("IF(D956,filter(Productos!AC:AC,Productos!A:A=B956),)"),"fabrica")</f>
        <v>fabrica</v>
      </c>
      <c r="I956" s="24" t="str">
        <f aca="false">IFERROR(__xludf.dummyfunction("""COMPUTED_VALUE"""),"")</f>
        <v/>
      </c>
      <c r="K956" s="0" t="e">
        <f aca="false">IF(D956,"{""sku"":"""&amp;B956&amp;""", ""costo"":"&amp;C956&amp;", ""grupo"":"""&amp;A956&amp;""", ""lote"":"&amp;D956&amp;", ""tiempo"":"&amp;E956&amp;", "&amp;F956&amp;", ""vencimiento"":"&amp;G956&amp;IF(I956,", ""precio"":"&amp;I956,)&amp;", ""tipo"":"""&amp;H956&amp;"""},",)</f>
        <v>#VALUE!</v>
      </c>
    </row>
    <row r="957" customFormat="false" ht="13" hidden="false" customHeight="false" outlineLevel="0" collapsed="false">
      <c r="A957" s="17" t="n">
        <v>14</v>
      </c>
      <c r="B957" s="0" t="n">
        <f aca="false">IFERROR(__xludf.dummyfunction("""COMPUTED_VALUE"""),1106)</f>
        <v>1106</v>
      </c>
      <c r="C957" s="24" t="n">
        <f aca="false">IFERROR(__xludf.dummyfunction("""COMPUTED_VALUE"""),700)</f>
        <v>700</v>
      </c>
      <c r="D957" s="0" t="n">
        <f aca="false">IFERROR(__xludf.dummyfunction("""COMPUTED_VALUE"""),100)</f>
        <v>100</v>
      </c>
      <c r="E957" s="0" t="n">
        <f aca="false">IFERROR(__xludf.dummyfunction("""COMPUTED_VALUE"""),30)</f>
        <v>30</v>
      </c>
      <c r="F957" s="0" t="str">
        <f aca="false">IFERROR(__xludf.dummyfunction("filter(Formulas!$C:$C,Formulas!$A:$A=B957)"),"""formula"":[{""sku"":""1006"",""req"":1}]")</f>
        <v>"formula":[{"sku":"1006","req":1}]</v>
      </c>
      <c r="G957" s="0" t="n">
        <f aca="false">IFERROR(__xludf.dummyfunction("""COMPUTED_VALUE"""),4)</f>
        <v>4</v>
      </c>
      <c r="H957" s="21" t="str">
        <f aca="false">IFERROR(__xludf.dummyfunction("IF(D957,filter(Productos!AC:AC,Productos!A:A=B957),)"),"fabrica")</f>
        <v>fabrica</v>
      </c>
      <c r="I957" s="24" t="str">
        <f aca="false">IFERROR(__xludf.dummyfunction("""COMPUTED_VALUE"""),"")</f>
        <v/>
      </c>
      <c r="K957" s="0" t="e">
        <f aca="false">IF(D957,"{""sku"":"""&amp;B957&amp;""", ""costo"":"&amp;C957&amp;", ""grupo"":"""&amp;A957&amp;""", ""lote"":"&amp;D957&amp;", ""tiempo"":"&amp;E957&amp;", "&amp;F957&amp;", ""vencimiento"":"&amp;G957&amp;IF(I957,", ""precio"":"&amp;I957,)&amp;", ""tipo"":"""&amp;H957&amp;"""},",)</f>
        <v>#VALUE!</v>
      </c>
    </row>
    <row r="958" customFormat="false" ht="13" hidden="false" customHeight="false" outlineLevel="0" collapsed="false">
      <c r="A958" s="16" t="n">
        <v>14</v>
      </c>
      <c r="B958" s="0" t="n">
        <f aca="false">IFERROR(__xludf.dummyfunction("""COMPUTED_VALUE"""),1107)</f>
        <v>1107</v>
      </c>
      <c r="C958" s="24" t="n">
        <f aca="false">IFERROR(__xludf.dummyfunction("""COMPUTED_VALUE"""),10)</f>
        <v>10</v>
      </c>
      <c r="D958" s="0" t="n">
        <f aca="false">IFERROR(__xludf.dummyfunction("""COMPUTED_VALUE"""),11)</f>
        <v>11</v>
      </c>
      <c r="E958" s="0" t="n">
        <f aca="false">IFERROR(__xludf.dummyfunction("""COMPUTED_VALUE"""),20)</f>
        <v>20</v>
      </c>
      <c r="F958" s="0" t="str">
        <f aca="false">IFERROR(__xludf.dummyfunction("filter(Formulas!$C:$C,Formulas!$A:$A=B958)"),"""formula"":[{""sku"":""1007"",""req"":1}]")</f>
        <v>"formula":[{"sku":"1007","req":1}]</v>
      </c>
      <c r="G958" s="0" t="n">
        <f aca="false">IFERROR(__xludf.dummyfunction("""COMPUTED_VALUE"""),2)</f>
        <v>2</v>
      </c>
      <c r="H958" s="21" t="str">
        <f aca="false">IFERROR(__xludf.dummyfunction("IF(D958,filter(Productos!AC:AC,Productos!A:A=B958),)"),"fabrica")</f>
        <v>fabrica</v>
      </c>
      <c r="I958" s="24" t="str">
        <f aca="false">IFERROR(__xludf.dummyfunction("""COMPUTED_VALUE"""),"")</f>
        <v/>
      </c>
      <c r="K958" s="0" t="e">
        <f aca="false">IF(D958,"{""sku"":"""&amp;B958&amp;""", ""costo"":"&amp;C958&amp;", ""grupo"":"""&amp;A958&amp;""", ""lote"":"&amp;D958&amp;", ""tiempo"":"&amp;E958&amp;", "&amp;F958&amp;", ""vencimiento"":"&amp;G958&amp;IF(I958,", ""precio"":"&amp;I958,)&amp;", ""tipo"":"""&amp;H958&amp;"""},",)</f>
        <v>#VALUE!</v>
      </c>
    </row>
    <row r="959" customFormat="false" ht="13" hidden="false" customHeight="false" outlineLevel="0" collapsed="false">
      <c r="A959" s="17" t="n">
        <v>14</v>
      </c>
      <c r="B959" s="0" t="n">
        <f aca="false">IFERROR(__xludf.dummyfunction("""COMPUTED_VALUE"""),1108)</f>
        <v>1108</v>
      </c>
      <c r="C959" s="24" t="n">
        <f aca="false">IFERROR(__xludf.dummyfunction("""COMPUTED_VALUE"""),10)</f>
        <v>10</v>
      </c>
      <c r="D959" s="0" t="n">
        <f aca="false">IFERROR(__xludf.dummyfunction("""COMPUTED_VALUE"""),6)</f>
        <v>6</v>
      </c>
      <c r="E959" s="0" t="n">
        <f aca="false">IFERROR(__xludf.dummyfunction("""COMPUTED_VALUE"""),20)</f>
        <v>20</v>
      </c>
      <c r="F959" s="0" t="str">
        <f aca="false">IFERROR(__xludf.dummyfunction("filter(Formulas!$C:$C,Formulas!$A:$A=B959)"),"""formula"":[{""sku"":""1008"",""req"":1}]")</f>
        <v>"formula":[{"sku":"1008","req":1}]</v>
      </c>
      <c r="G959" s="0" t="n">
        <f aca="false">IFERROR(__xludf.dummyfunction("""COMPUTED_VALUE"""),4)</f>
        <v>4</v>
      </c>
      <c r="H959" s="21" t="str">
        <f aca="false">IFERROR(__xludf.dummyfunction("IF(D959,filter(Productos!AC:AC,Productos!A:A=B959),)"),"fabrica")</f>
        <v>fabrica</v>
      </c>
      <c r="I959" s="24" t="str">
        <f aca="false">IFERROR(__xludf.dummyfunction("""COMPUTED_VALUE"""),"")</f>
        <v/>
      </c>
      <c r="K959" s="0" t="e">
        <f aca="false">IF(D959,"{""sku"":"""&amp;B959&amp;""", ""costo"":"&amp;C959&amp;", ""grupo"":"""&amp;A959&amp;""", ""lote"":"&amp;D959&amp;", ""tiempo"":"&amp;E959&amp;", "&amp;F959&amp;", ""vencimiento"":"&amp;G959&amp;IF(I959,", ""precio"":"&amp;I959,)&amp;", ""tipo"":"""&amp;H959&amp;"""},",)</f>
        <v>#VALUE!</v>
      </c>
    </row>
    <row r="960" customFormat="false" ht="13" hidden="false" customHeight="false" outlineLevel="0" collapsed="false">
      <c r="A960" s="16" t="n">
        <v>14</v>
      </c>
      <c r="B960" s="0" t="n">
        <f aca="false">IFERROR(__xludf.dummyfunction("""COMPUTED_VALUE"""),1109)</f>
        <v>1109</v>
      </c>
      <c r="C960" s="24" t="n">
        <f aca="false">IFERROR(__xludf.dummyfunction("""COMPUTED_VALUE"""),10)</f>
        <v>10</v>
      </c>
      <c r="D960" s="0" t="n">
        <f aca="false">IFERROR(__xludf.dummyfunction("""COMPUTED_VALUE"""),12)</f>
        <v>12</v>
      </c>
      <c r="E960" s="0" t="n">
        <f aca="false">IFERROR(__xludf.dummyfunction("""COMPUTED_VALUE"""),30)</f>
        <v>30</v>
      </c>
      <c r="F960" s="0" t="str">
        <f aca="false">IFERROR(__xludf.dummyfunction("filter(Formulas!$C:$C,Formulas!$A:$A=B960)"),"""formula"":[{""sku"":""1009"",""req"":1}]")</f>
        <v>"formula":[{"sku":"1009","req":1}]</v>
      </c>
      <c r="G960" s="0" t="n">
        <f aca="false">IFERROR(__xludf.dummyfunction("""COMPUTED_VALUE"""),1.5)</f>
        <v>1.5</v>
      </c>
      <c r="H960" s="21" t="str">
        <f aca="false">IFERROR(__xludf.dummyfunction("IF(D960,filter(Productos!AC:AC,Productos!A:A=B960),)"),"fabrica")</f>
        <v>fabrica</v>
      </c>
      <c r="I960" s="24" t="str">
        <f aca="false">IFERROR(__xludf.dummyfunction("""COMPUTED_VALUE"""),"")</f>
        <v/>
      </c>
      <c r="K960" s="0" t="e">
        <f aca="false">IF(D960,"{""sku"":"""&amp;B960&amp;""", ""costo"":"&amp;C960&amp;", ""grupo"":"""&amp;A960&amp;""", ""lote"":"&amp;D960&amp;", ""tiempo"":"&amp;E960&amp;", "&amp;F960&amp;", ""vencimiento"":"&amp;G960&amp;IF(I960,", ""precio"":"&amp;I960,)&amp;", ""tipo"":"""&amp;H960&amp;"""},",)</f>
        <v>#VALUE!</v>
      </c>
    </row>
    <row r="961" customFormat="false" ht="13" hidden="false" customHeight="false" outlineLevel="0" collapsed="false">
      <c r="A961" s="17" t="n">
        <v>14</v>
      </c>
      <c r="B961" s="0" t="n">
        <f aca="false">IFERROR(__xludf.dummyfunction("""COMPUTED_VALUE"""),1110)</f>
        <v>1110</v>
      </c>
      <c r="C961" s="24" t="n">
        <f aca="false">IFERROR(__xludf.dummyfunction("""COMPUTED_VALUE"""),10)</f>
        <v>10</v>
      </c>
      <c r="D961" s="0" t="n">
        <f aca="false">IFERROR(__xludf.dummyfunction("""COMPUTED_VALUE"""),6)</f>
        <v>6</v>
      </c>
      <c r="E961" s="0" t="n">
        <f aca="false">IFERROR(__xludf.dummyfunction("""COMPUTED_VALUE"""),10)</f>
        <v>10</v>
      </c>
      <c r="F961" s="0" t="str">
        <f aca="false">IFERROR(__xludf.dummyfunction("filter(Formulas!$C:$C,Formulas!$A:$A=B961)"),"""formula"":[{""sku"":""1010"",""req"":1}]")</f>
        <v>"formula":[{"sku":"1010","req":1}]</v>
      </c>
      <c r="G961" s="0" t="n">
        <f aca="false">IFERROR(__xludf.dummyfunction("""COMPUTED_VALUE"""),2)</f>
        <v>2</v>
      </c>
      <c r="H961" s="21" t="str">
        <f aca="false">IFERROR(__xludf.dummyfunction("IF(D961,filter(Productos!AC:AC,Productos!A:A=B961),)"),"fabrica")</f>
        <v>fabrica</v>
      </c>
      <c r="I961" s="24" t="str">
        <f aca="false">IFERROR(__xludf.dummyfunction("""COMPUTED_VALUE"""),"")</f>
        <v/>
      </c>
      <c r="K961" s="0" t="e">
        <f aca="false">IF(D961,"{""sku"":"""&amp;B961&amp;""", ""costo"":"&amp;C961&amp;", ""grupo"":"""&amp;A961&amp;""", ""lote"":"&amp;D961&amp;", ""tiempo"":"&amp;E961&amp;", "&amp;F961&amp;", ""vencimiento"":"&amp;G961&amp;IF(I961,", ""precio"":"&amp;I961,)&amp;", ""tipo"":"""&amp;H961&amp;"""},",)</f>
        <v>#VALUE!</v>
      </c>
    </row>
    <row r="962" customFormat="false" ht="13" hidden="false" customHeight="false" outlineLevel="0" collapsed="false">
      <c r="A962" s="16" t="n">
        <v>14</v>
      </c>
      <c r="B962" s="0" t="n">
        <f aca="false">IFERROR(__xludf.dummyfunction("""COMPUTED_VALUE"""),1111)</f>
        <v>1111</v>
      </c>
      <c r="C962" s="24" t="n">
        <f aca="false">IFERROR(__xludf.dummyfunction("""COMPUTED_VALUE"""),120)</f>
        <v>120</v>
      </c>
      <c r="D962" s="0" t="n">
        <f aca="false">IFERROR(__xludf.dummyfunction("""COMPUTED_VALUE"""),2)</f>
        <v>2</v>
      </c>
      <c r="E962" s="0" t="n">
        <f aca="false">IFERROR(__xludf.dummyfunction("""COMPUTED_VALUE"""),30)</f>
        <v>30</v>
      </c>
      <c r="F962" s="0" t="str">
        <f aca="false">IFERROR(__xludf.dummyfunction("filter(Formulas!$C:$C,Formulas!$A:$A=B962)"),"""formula"":[{""sku"":""1011"",""req"":2}]")</f>
        <v>"formula":[{"sku":"1011","req":2}]</v>
      </c>
      <c r="G962" s="0" t="n">
        <f aca="false">IFERROR(__xludf.dummyfunction("""COMPUTED_VALUE"""),12)</f>
        <v>12</v>
      </c>
      <c r="H962" s="21" t="str">
        <f aca="false">IFERROR(__xludf.dummyfunction("IF(D962,filter(Productos!AC:AC,Productos!A:A=B962),)"),"fabrica")</f>
        <v>fabrica</v>
      </c>
      <c r="I962" s="24" t="str">
        <f aca="false">IFERROR(__xludf.dummyfunction("""COMPUTED_VALUE"""),"")</f>
        <v/>
      </c>
      <c r="K962" s="0" t="e">
        <f aca="false">IF(D962,"{""sku"":"""&amp;B962&amp;""", ""costo"":"&amp;C962&amp;", ""grupo"":"""&amp;A962&amp;""", ""lote"":"&amp;D962&amp;", ""tiempo"":"&amp;E962&amp;", "&amp;F962&amp;", ""vencimiento"":"&amp;G962&amp;IF(I962,", ""precio"":"&amp;I962,)&amp;", ""tipo"":"""&amp;H962&amp;"""},",)</f>
        <v>#VALUE!</v>
      </c>
    </row>
    <row r="963" customFormat="false" ht="13" hidden="false" customHeight="false" outlineLevel="0" collapsed="false">
      <c r="A963" s="17" t="n">
        <v>14</v>
      </c>
      <c r="B963" s="0" t="n">
        <f aca="false">IFERROR(__xludf.dummyfunction("""COMPUTED_VALUE"""),1112)</f>
        <v>1112</v>
      </c>
      <c r="C963" s="24" t="n">
        <f aca="false">IFERROR(__xludf.dummyfunction("""COMPUTED_VALUE"""),10)</f>
        <v>10</v>
      </c>
      <c r="D963" s="0" t="n">
        <f aca="false">IFERROR(__xludf.dummyfunction("""COMPUTED_VALUE"""),20)</f>
        <v>20</v>
      </c>
      <c r="E963" s="0" t="n">
        <f aca="false">IFERROR(__xludf.dummyfunction("""COMPUTED_VALUE"""),10)</f>
        <v>10</v>
      </c>
      <c r="F963" s="0" t="str">
        <f aca="false">IFERROR(__xludf.dummyfunction("filter(Formulas!$C:$C,Formulas!$A:$A=B963)"),"""formula"":[{""sku"":""1012"",""req"":1}]")</f>
        <v>"formula":[{"sku":"1012","req":1}]</v>
      </c>
      <c r="G963" s="0" t="n">
        <f aca="false">IFERROR(__xludf.dummyfunction("""COMPUTED_VALUE"""),24)</f>
        <v>24</v>
      </c>
      <c r="H963" s="21" t="str">
        <f aca="false">IFERROR(__xludf.dummyfunction("IF(D963,filter(Productos!AC:AC,Productos!A:A=B963),)"),"fabrica")</f>
        <v>fabrica</v>
      </c>
      <c r="I963" s="24" t="str">
        <f aca="false">IFERROR(__xludf.dummyfunction("""COMPUTED_VALUE"""),"")</f>
        <v/>
      </c>
      <c r="K963" s="0" t="e">
        <f aca="false">IF(D963,"{""sku"":"""&amp;B963&amp;""", ""costo"":"&amp;C963&amp;", ""grupo"":"""&amp;A963&amp;""", ""lote"":"&amp;D963&amp;", ""tiempo"":"&amp;E963&amp;", "&amp;F963&amp;", ""vencimiento"":"&amp;G963&amp;IF(I963,", ""precio"":"&amp;I963,)&amp;", ""tipo"":"""&amp;H963&amp;"""},",)</f>
        <v>#VALUE!</v>
      </c>
    </row>
    <row r="964" customFormat="false" ht="13" hidden="false" customHeight="false" outlineLevel="0" collapsed="false">
      <c r="A964" s="16" t="n">
        <v>14</v>
      </c>
      <c r="B964" s="0" t="n">
        <f aca="false">IFERROR(__xludf.dummyfunction("""COMPUTED_VALUE"""),1114)</f>
        <v>1114</v>
      </c>
      <c r="C964" s="24" t="n">
        <f aca="false">IFERROR(__xludf.dummyfunction("""COMPUTED_VALUE"""),10)</f>
        <v>10</v>
      </c>
      <c r="D964" s="0" t="n">
        <f aca="false">IFERROR(__xludf.dummyfunction("""COMPUTED_VALUE"""),4)</f>
        <v>4</v>
      </c>
      <c r="E964" s="0" t="n">
        <f aca="false">IFERROR(__xludf.dummyfunction("""COMPUTED_VALUE"""),10)</f>
        <v>10</v>
      </c>
      <c r="F964" s="0" t="str">
        <f aca="false">IFERROR(__xludf.dummyfunction("filter(Formulas!$C:$C,Formulas!$A:$A=B964)"),"""formula"":[{""sku"":""1014"",""req"":1}]")</f>
        <v>"formula":[{"sku":"1014","req":1}]</v>
      </c>
      <c r="G964" s="0" t="n">
        <f aca="false">IFERROR(__xludf.dummyfunction("""COMPUTED_VALUE"""),2)</f>
        <v>2</v>
      </c>
      <c r="H964" s="21" t="str">
        <f aca="false">IFERROR(__xludf.dummyfunction("IF(D964,filter(Productos!AC:AC,Productos!A:A=B964),)"),"fabrica")</f>
        <v>fabrica</v>
      </c>
      <c r="I964" s="24" t="str">
        <f aca="false">IFERROR(__xludf.dummyfunction("""COMPUTED_VALUE"""),"")</f>
        <v/>
      </c>
      <c r="K964" s="0" t="e">
        <f aca="false">IF(D964,"{""sku"":"""&amp;B964&amp;""", ""costo"":"&amp;C964&amp;", ""grupo"":"""&amp;A964&amp;""", ""lote"":"&amp;D964&amp;", ""tiempo"":"&amp;E964&amp;", "&amp;F964&amp;", ""vencimiento"":"&amp;G964&amp;IF(I964,", ""precio"":"&amp;I964,)&amp;", ""tipo"":"""&amp;H964&amp;"""},",)</f>
        <v>#VALUE!</v>
      </c>
    </row>
    <row r="965" customFormat="false" ht="13" hidden="false" customHeight="false" outlineLevel="0" collapsed="false">
      <c r="A965" s="17" t="n">
        <v>14</v>
      </c>
      <c r="B965" s="0" t="n">
        <f aca="false">IFERROR(__xludf.dummyfunction("""COMPUTED_VALUE"""),1115)</f>
        <v>1115</v>
      </c>
      <c r="C965" s="24" t="n">
        <f aca="false">IFERROR(__xludf.dummyfunction("""COMPUTED_VALUE"""),10)</f>
        <v>10</v>
      </c>
      <c r="D965" s="0" t="n">
        <f aca="false">IFERROR(__xludf.dummyfunction("""COMPUTED_VALUE"""),8)</f>
        <v>8</v>
      </c>
      <c r="E965" s="0" t="n">
        <f aca="false">IFERROR(__xludf.dummyfunction("""COMPUTED_VALUE"""),10)</f>
        <v>10</v>
      </c>
      <c r="F965" s="0" t="str">
        <f aca="false">IFERROR(__xludf.dummyfunction("filter(Formulas!$C:$C,Formulas!$A:$A=B965)"),"""formula"":[{""sku"":""1015"",""req"":2}]")</f>
        <v>"formula":[{"sku":"1015","req":2}]</v>
      </c>
      <c r="G965" s="0" t="n">
        <f aca="false">IFERROR(__xludf.dummyfunction("""COMPUTED_VALUE"""),3)</f>
        <v>3</v>
      </c>
      <c r="H965" s="21" t="str">
        <f aca="false">IFERROR(__xludf.dummyfunction("IF(D965,filter(Productos!AC:AC,Productos!A:A=B965),)"),"fabrica")</f>
        <v>fabrica</v>
      </c>
      <c r="I965" s="24" t="str">
        <f aca="false">IFERROR(__xludf.dummyfunction("""COMPUTED_VALUE"""),"")</f>
        <v/>
      </c>
      <c r="K965" s="0" t="e">
        <f aca="false">IF(D965,"{""sku"":"""&amp;B965&amp;""", ""costo"":"&amp;C965&amp;", ""grupo"":"""&amp;A965&amp;""", ""lote"":"&amp;D965&amp;", ""tiempo"":"&amp;E965&amp;", "&amp;F965&amp;", ""vencimiento"":"&amp;G965&amp;IF(I965,", ""precio"":"&amp;I965,)&amp;", ""tipo"":"""&amp;H965&amp;"""},",)</f>
        <v>#VALUE!</v>
      </c>
    </row>
    <row r="966" customFormat="false" ht="13" hidden="false" customHeight="false" outlineLevel="0" collapsed="false">
      <c r="A966" s="16" t="n">
        <v>14</v>
      </c>
      <c r="B966" s="0" t="n">
        <f aca="false">IFERROR(__xludf.dummyfunction("""COMPUTED_VALUE"""),1116)</f>
        <v>1116</v>
      </c>
      <c r="C966" s="24" t="n">
        <f aca="false">IFERROR(__xludf.dummyfunction("""COMPUTED_VALUE"""),10)</f>
        <v>10</v>
      </c>
      <c r="D966" s="0" t="n">
        <f aca="false">IFERROR(__xludf.dummyfunction("""COMPUTED_VALUE"""),10)</f>
        <v>10</v>
      </c>
      <c r="E966" s="0" t="n">
        <f aca="false">IFERROR(__xludf.dummyfunction("""COMPUTED_VALUE"""),40)</f>
        <v>40</v>
      </c>
      <c r="F966" s="0" t="str">
        <f aca="false">IFERROR(__xludf.dummyfunction("filter(Formulas!$C:$C,Formulas!$A:$A=B966)"),"""formula"":[{""sku"":""1016"",""req"":11}]")</f>
        <v>"formula":[{"sku":"1016","req":11}]</v>
      </c>
      <c r="G966" s="0" t="n">
        <f aca="false">IFERROR(__xludf.dummyfunction("""COMPUTED_VALUE"""),24)</f>
        <v>24</v>
      </c>
      <c r="H966" s="21" t="str">
        <f aca="false">IFERROR(__xludf.dummyfunction("IF(D966,filter(Productos!AC:AC,Productos!A:A=B966),)"),"fabrica")</f>
        <v>fabrica</v>
      </c>
      <c r="I966" s="0" t="str">
        <f aca="false">IFERROR(__xludf.dummyfunction("""COMPUTED_VALUE"""),"")</f>
        <v/>
      </c>
      <c r="K966" s="0" t="e">
        <f aca="false">IF(D966,"{""sku"":"""&amp;B966&amp;""", ""costo"":"&amp;C966&amp;", ""grupo"":"""&amp;A966&amp;""", ""lote"":"&amp;D966&amp;", ""tiempo"":"&amp;E966&amp;", "&amp;F966&amp;", ""vencimiento"":"&amp;G966&amp;IF(I966,", ""precio"":"&amp;I966,)&amp;", ""tipo"":"""&amp;H966&amp;"""},",)</f>
        <v>#VALUE!</v>
      </c>
    </row>
    <row r="967" customFormat="false" ht="13" hidden="false" customHeight="false" outlineLevel="0" collapsed="false">
      <c r="A967" s="17" t="n">
        <v>14</v>
      </c>
      <c r="B967" s="0" t="n">
        <f aca="false">IFERROR(__xludf.dummyfunction("""COMPUTED_VALUE"""),1201)</f>
        <v>1201</v>
      </c>
      <c r="C967" s="24" t="n">
        <f aca="false">IFERROR(__xludf.dummyfunction("""COMPUTED_VALUE"""),10)</f>
        <v>10</v>
      </c>
      <c r="D967" s="0" t="n">
        <f aca="false">IFERROR(__xludf.dummyfunction("""COMPUTED_VALUE"""),10)</f>
        <v>10</v>
      </c>
      <c r="E967" s="0" t="n">
        <f aca="false">IFERROR(__xludf.dummyfunction("""COMPUTED_VALUE"""),10)</f>
        <v>10</v>
      </c>
      <c r="F967" s="0" t="str">
        <f aca="false">IFERROR(__xludf.dummyfunction("filter(Formulas!$C:$C,Formulas!$A:$A=B967)"),"""formula"":[{""sku"":""1101"",""req"":1}]")</f>
        <v>"formula":[{"sku":"1101","req":1}]</v>
      </c>
      <c r="G967" s="0" t="n">
        <f aca="false">IFERROR(__xludf.dummyfunction("""COMPUTED_VALUE"""),2)</f>
        <v>2</v>
      </c>
      <c r="H967" s="21" t="str">
        <f aca="false">IFERROR(__xludf.dummyfunction("IF(D967,filter(Productos!AC:AC,Productos!A:A=B967),)"),"fabrica")</f>
        <v>fabrica</v>
      </c>
      <c r="I967" s="24" t="str">
        <f aca="false">IFERROR(__xludf.dummyfunction("""COMPUTED_VALUE"""),"")</f>
        <v/>
      </c>
      <c r="K967" s="0" t="e">
        <f aca="false">IF(D967,"{""sku"":"""&amp;B967&amp;""", ""costo"":"&amp;C967&amp;", ""grupo"":"""&amp;A967&amp;""", ""lote"":"&amp;D967&amp;", ""tiempo"":"&amp;E967&amp;", "&amp;F967&amp;", ""vencimiento"":"&amp;G967&amp;IF(I967,", ""precio"":"&amp;I967,)&amp;", ""tipo"":"""&amp;H967&amp;"""},",)</f>
        <v>#VALUE!</v>
      </c>
    </row>
    <row r="968" customFormat="false" ht="13" hidden="false" customHeight="false" outlineLevel="0" collapsed="false">
      <c r="A968" s="16" t="n">
        <v>14</v>
      </c>
      <c r="B968" s="0" t="n">
        <f aca="false">IFERROR(__xludf.dummyfunction("""COMPUTED_VALUE"""),1207)</f>
        <v>1207</v>
      </c>
      <c r="C968" s="24" t="n">
        <f aca="false">IFERROR(__xludf.dummyfunction("""COMPUTED_VALUE"""),30)</f>
        <v>30</v>
      </c>
      <c r="D968" s="0" t="n">
        <f aca="false">IFERROR(__xludf.dummyfunction("""COMPUTED_VALUE"""),12)</f>
        <v>12</v>
      </c>
      <c r="E968" s="0" t="n">
        <f aca="false">IFERROR(__xludf.dummyfunction("""COMPUTED_VALUE"""),20)</f>
        <v>20</v>
      </c>
      <c r="F968" s="0" t="str">
        <f aca="false">IFERROR(__xludf.dummyfunction("filter(Formulas!$C:$C,Formulas!$A:$A=B968)"),"""formula"":[{""sku"":""1007"",""req"":1}]")</f>
        <v>"formula":[{"sku":"1007","req":1}]</v>
      </c>
      <c r="G968" s="0" t="n">
        <f aca="false">IFERROR(__xludf.dummyfunction("""COMPUTED_VALUE"""),2)</f>
        <v>2</v>
      </c>
      <c r="H968" s="21" t="str">
        <f aca="false">IFERROR(__xludf.dummyfunction("IF(D968,filter(Productos!AC:AC,Productos!A:A=B968),)"),"fabrica")</f>
        <v>fabrica</v>
      </c>
      <c r="I968" s="24" t="str">
        <f aca="false">IFERROR(__xludf.dummyfunction("""COMPUTED_VALUE"""),"")</f>
        <v/>
      </c>
      <c r="K968" s="0" t="e">
        <f aca="false">IF(D968,"{""sku"":"""&amp;B968&amp;""", ""costo"":"&amp;C968&amp;", ""grupo"":"""&amp;A968&amp;""", ""lote"":"&amp;D968&amp;", ""tiempo"":"&amp;E968&amp;", "&amp;F968&amp;", ""vencimiento"":"&amp;G968&amp;IF(I968,", ""precio"":"&amp;I968,)&amp;", ""tipo"":"""&amp;H968&amp;"""},",)</f>
        <v>#VALUE!</v>
      </c>
    </row>
    <row r="969" customFormat="false" ht="13" hidden="false" customHeight="false" outlineLevel="0" collapsed="false">
      <c r="A969" s="17" t="n">
        <v>14</v>
      </c>
      <c r="B969" s="0" t="n">
        <f aca="false">IFERROR(__xludf.dummyfunction("""COMPUTED_VALUE"""),1209)</f>
        <v>1209</v>
      </c>
      <c r="C969" s="24" t="n">
        <f aca="false">IFERROR(__xludf.dummyfunction("""COMPUTED_VALUE"""),30)</f>
        <v>30</v>
      </c>
      <c r="D969" s="0" t="n">
        <f aca="false">IFERROR(__xludf.dummyfunction("""COMPUTED_VALUE"""),14)</f>
        <v>14</v>
      </c>
      <c r="E969" s="0" t="n">
        <f aca="false">IFERROR(__xludf.dummyfunction("""COMPUTED_VALUE"""),30)</f>
        <v>30</v>
      </c>
      <c r="F969" s="0" t="str">
        <f aca="false">IFERROR(__xludf.dummyfunction("filter(Formulas!$C:$C,Formulas!$A:$A=B969)"),"""formula"":[{""sku"":""1009"",""req"":1}]")</f>
        <v>"formula":[{"sku":"1009","req":1}]</v>
      </c>
      <c r="G969" s="0" t="n">
        <f aca="false">IFERROR(__xludf.dummyfunction("""COMPUTED_VALUE"""),1.5)</f>
        <v>1.5</v>
      </c>
      <c r="H969" s="21" t="str">
        <f aca="false">IFERROR(__xludf.dummyfunction("IF(D969,filter(Productos!AC:AC,Productos!A:A=B969),)"),"fabrica")</f>
        <v>fabrica</v>
      </c>
      <c r="I969" s="24" t="str">
        <f aca="false">IFERROR(__xludf.dummyfunction("""COMPUTED_VALUE"""),"")</f>
        <v/>
      </c>
      <c r="K969" s="0" t="e">
        <f aca="false">IF(D969,"{""sku"":"""&amp;B969&amp;""", ""costo"":"&amp;C969&amp;", ""grupo"":"""&amp;A969&amp;""", ""lote"":"&amp;D969&amp;", ""tiempo"":"&amp;E969&amp;", "&amp;F969&amp;", ""vencimiento"":"&amp;G969&amp;IF(I969,", ""precio"":"&amp;I969,)&amp;", ""tipo"":"""&amp;H969&amp;"""},",)</f>
        <v>#VALUE!</v>
      </c>
    </row>
    <row r="970" customFormat="false" ht="13" hidden="false" customHeight="false" outlineLevel="0" collapsed="false">
      <c r="A970" s="16" t="n">
        <v>14</v>
      </c>
      <c r="B970" s="0" t="n">
        <f aca="false">IFERROR(__xludf.dummyfunction("""COMPUTED_VALUE"""),1210)</f>
        <v>1210</v>
      </c>
      <c r="C970" s="24" t="n">
        <f aca="false">IFERROR(__xludf.dummyfunction("""COMPUTED_VALUE"""),10)</f>
        <v>10</v>
      </c>
      <c r="D970" s="0" t="n">
        <f aca="false">IFERROR(__xludf.dummyfunction("""COMPUTED_VALUE"""),9)</f>
        <v>9</v>
      </c>
      <c r="E970" s="0" t="n">
        <f aca="false">IFERROR(__xludf.dummyfunction("""COMPUTED_VALUE"""),10)</f>
        <v>10</v>
      </c>
      <c r="F970" s="0" t="str">
        <f aca="false">IFERROR(__xludf.dummyfunction("filter(Formulas!$C:$C,Formulas!$A:$A=B970)"),"""formula"":[{""sku"":""1010"",""req"":1}]")</f>
        <v>"formula":[{"sku":"1010","req":1}]</v>
      </c>
      <c r="G970" s="0" t="n">
        <f aca="false">IFERROR(__xludf.dummyfunction("""COMPUTED_VALUE"""),2.3)</f>
        <v>2.3</v>
      </c>
      <c r="H970" s="21" t="str">
        <f aca="false">IFERROR(__xludf.dummyfunction("IF(D970,filter(Productos!AC:AC,Productos!A:A=B970),)"),"fabrica")</f>
        <v>fabrica</v>
      </c>
      <c r="I970" s="24" t="str">
        <f aca="false">IFERROR(__xludf.dummyfunction("""COMPUTED_VALUE"""),"")</f>
        <v/>
      </c>
      <c r="K970" s="0" t="e">
        <f aca="false">IF(D970,"{""sku"":"""&amp;B970&amp;""", ""costo"":"&amp;C970&amp;", ""grupo"":"""&amp;A970&amp;""", ""lote"":"&amp;D970&amp;", ""tiempo"":"&amp;E970&amp;", "&amp;F970&amp;", ""vencimiento"":"&amp;G970&amp;IF(I970,", ""precio"":"&amp;I970,)&amp;", ""tipo"":"""&amp;H970&amp;"""},",)</f>
        <v>#VALUE!</v>
      </c>
    </row>
    <row r="971" customFormat="false" ht="13" hidden="false" customHeight="false" outlineLevel="0" collapsed="false">
      <c r="A971" s="17" t="n">
        <v>14</v>
      </c>
      <c r="B971" s="0" t="n">
        <f aca="false">IFERROR(__xludf.dummyfunction("""COMPUTED_VALUE"""),1211)</f>
        <v>1211</v>
      </c>
      <c r="C971" s="24" t="n">
        <f aca="false">IFERROR(__xludf.dummyfunction("""COMPUTED_VALUE"""),10)</f>
        <v>10</v>
      </c>
      <c r="D971" s="0" t="n">
        <f aca="false">IFERROR(__xludf.dummyfunction("""COMPUTED_VALUE"""),10)</f>
        <v>10</v>
      </c>
      <c r="E971" s="0" t="n">
        <f aca="false">IFERROR(__xludf.dummyfunction("""COMPUTED_VALUE"""),10)</f>
        <v>10</v>
      </c>
      <c r="F971" s="0" t="str">
        <f aca="false">IFERROR(__xludf.dummyfunction("filter(Formulas!$C:$C,Formulas!$A:$A=B971)"),"""formula"":[{""sku"":""1111"",""req"":1}]")</f>
        <v>"formula":[{"sku":"1111","req":1}]</v>
      </c>
      <c r="G971" s="0" t="n">
        <f aca="false">IFERROR(__xludf.dummyfunction("""COMPUTED_VALUE"""),12)</f>
        <v>12</v>
      </c>
      <c r="H971" s="21" t="str">
        <f aca="false">IFERROR(__xludf.dummyfunction("IF(D971,filter(Productos!AC:AC,Productos!A:A=B971),)"),"fabrica")</f>
        <v>fabrica</v>
      </c>
      <c r="I971" s="24" t="str">
        <f aca="false">IFERROR(__xludf.dummyfunction("""COMPUTED_VALUE"""),"")</f>
        <v/>
      </c>
      <c r="K971" s="0" t="e">
        <f aca="false">IF(D971,"{""sku"":"""&amp;B971&amp;""", ""costo"":"&amp;C971&amp;", ""grupo"":"""&amp;A971&amp;""", ""lote"":"&amp;D971&amp;", ""tiempo"":"&amp;E971&amp;", "&amp;F971&amp;", ""vencimiento"":"&amp;G971&amp;IF(I971,", ""precio"":"&amp;I971,)&amp;", ""tipo"":"""&amp;H971&amp;"""},",)</f>
        <v>#VALUE!</v>
      </c>
    </row>
    <row r="972" customFormat="false" ht="13" hidden="false" customHeight="false" outlineLevel="0" collapsed="false">
      <c r="A972" s="16" t="n">
        <v>14</v>
      </c>
      <c r="B972" s="0" t="n">
        <f aca="false">IFERROR(__xludf.dummyfunction("""COMPUTED_VALUE"""),1215)</f>
        <v>1215</v>
      </c>
      <c r="C972" s="24" t="n">
        <f aca="false">IFERROR(__xludf.dummyfunction("""COMPUTED_VALUE"""),0)</f>
        <v>0</v>
      </c>
      <c r="D972" s="0" t="n">
        <f aca="false">IFERROR(__xludf.dummyfunction("""COMPUTED_VALUE"""),8)</f>
        <v>8</v>
      </c>
      <c r="E972" s="0" t="n">
        <f aca="false">IFERROR(__xludf.dummyfunction("""COMPUTED_VALUE"""),10)</f>
        <v>10</v>
      </c>
      <c r="F972" s="0" t="str">
        <f aca="false">IFERROR(__xludf.dummyfunction("filter(Formulas!$C:$C,Formulas!$A:$A=B972)"),"""formula"":[{""sku"":""1015"",""req"":4}]")</f>
        <v>"formula":[{"sku":"1015","req":4}]</v>
      </c>
      <c r="G972" s="0" t="n">
        <f aca="false">IFERROR(__xludf.dummyfunction("""COMPUTED_VALUE"""),3)</f>
        <v>3</v>
      </c>
      <c r="H972" s="21" t="str">
        <f aca="false">IFERROR(__xludf.dummyfunction("IF(D972,filter(Productos!AC:AC,Productos!A:A=B972),)"),"fabrica")</f>
        <v>fabrica</v>
      </c>
      <c r="I972" s="24" t="str">
        <f aca="false">IFERROR(__xludf.dummyfunction("""COMPUTED_VALUE"""),"")</f>
        <v/>
      </c>
      <c r="K972" s="0" t="e">
        <f aca="false">IF(D972,"{""sku"":"""&amp;B972&amp;""", ""costo"":"&amp;C972&amp;", ""grupo"":"""&amp;A972&amp;""", ""lote"":"&amp;D972&amp;", ""tiempo"":"&amp;E972&amp;", "&amp;F972&amp;", ""vencimiento"":"&amp;G972&amp;IF(I972,", ""precio"":"&amp;I972,)&amp;", ""tipo"":"""&amp;H972&amp;"""},",)</f>
        <v>#VALUE!</v>
      </c>
    </row>
    <row r="973" customFormat="false" ht="13" hidden="false" customHeight="false" outlineLevel="0" collapsed="false">
      <c r="A973" s="17" t="n">
        <v>14</v>
      </c>
      <c r="B973" s="0" t="n">
        <f aca="false">IFERROR(__xludf.dummyfunction("""COMPUTED_VALUE"""),1216)</f>
        <v>1216</v>
      </c>
      <c r="C973" s="24" t="n">
        <f aca="false">IFERROR(__xludf.dummyfunction("""COMPUTED_VALUE"""),10)</f>
        <v>10</v>
      </c>
      <c r="D973" s="0" t="n">
        <f aca="false">IFERROR(__xludf.dummyfunction("""COMPUTED_VALUE"""),10)</f>
        <v>10</v>
      </c>
      <c r="E973" s="0" t="n">
        <f aca="false">IFERROR(__xludf.dummyfunction("""COMPUTED_VALUE"""),30)</f>
        <v>30</v>
      </c>
      <c r="F973" s="0" t="str">
        <f aca="false">IFERROR(__xludf.dummyfunction("filter(Formulas!$C:$C,Formulas!$A:$A=B973)"),"""formula"":[{""sku"":""1016"",""req"":2}]")</f>
        <v>"formula":[{"sku":"1016","req":2}]</v>
      </c>
      <c r="G973" s="0" t="n">
        <f aca="false">IFERROR(__xludf.dummyfunction("""COMPUTED_VALUE"""),24)</f>
        <v>24</v>
      </c>
      <c r="H973" s="21" t="str">
        <f aca="false">IFERROR(__xludf.dummyfunction("IF(D973,filter(Productos!AC:AC,Productos!A:A=B973),)"),"fabrica")</f>
        <v>fabrica</v>
      </c>
      <c r="I973" s="0" t="str">
        <f aca="false">IFERROR(__xludf.dummyfunction("""COMPUTED_VALUE"""),"")</f>
        <v/>
      </c>
      <c r="K973" s="0" t="e">
        <f aca="false">IF(D973,"{""sku"":"""&amp;B973&amp;""", ""costo"":"&amp;C973&amp;", ""grupo"":"""&amp;A973&amp;""", ""lote"":"&amp;D973&amp;", ""tiempo"":"&amp;E973&amp;", "&amp;F973&amp;", ""vencimiento"":"&amp;G973&amp;IF(I973,", ""precio"":"&amp;I973,)&amp;", ""tipo"":"""&amp;H973&amp;"""},",)</f>
        <v>#VALUE!</v>
      </c>
    </row>
    <row r="974" customFormat="false" ht="13" hidden="false" customHeight="false" outlineLevel="0" collapsed="false">
      <c r="A974" s="16" t="n">
        <v>14</v>
      </c>
      <c r="B974" s="0" t="n">
        <f aca="false">IFERROR(__xludf.dummyfunction("""COMPUTED_VALUE"""),1301)</f>
        <v>1301</v>
      </c>
      <c r="C974" s="24" t="n">
        <f aca="false">IFERROR(__xludf.dummyfunction("""COMPUTED_VALUE"""),10)</f>
        <v>10</v>
      </c>
      <c r="D974" s="0" t="n">
        <f aca="false">IFERROR(__xludf.dummyfunction("""COMPUTED_VALUE"""),5)</f>
        <v>5</v>
      </c>
      <c r="E974" s="0" t="n">
        <f aca="false">IFERROR(__xludf.dummyfunction("""COMPUTED_VALUE"""),10)</f>
        <v>10</v>
      </c>
      <c r="F974" s="0" t="str">
        <f aca="false">IFERROR(__xludf.dummyfunction("filter(Formulas!$C:$C,Formulas!$A:$A=B974)"),"""formula"":[{""sku"":""1101"",""req"":1}]")</f>
        <v>"formula":[{"sku":"1101","req":1}]</v>
      </c>
      <c r="G974" s="0" t="n">
        <f aca="false">IFERROR(__xludf.dummyfunction("""COMPUTED_VALUE"""),2)</f>
        <v>2</v>
      </c>
      <c r="H974" s="21" t="str">
        <f aca="false">IFERROR(__xludf.dummyfunction("IF(D974,filter(Productos!AC:AC,Productos!A:A=B974),)"),"fabrica")</f>
        <v>fabrica</v>
      </c>
      <c r="I974" s="24" t="str">
        <f aca="false">IFERROR(__xludf.dummyfunction("""COMPUTED_VALUE"""),"")</f>
        <v/>
      </c>
      <c r="K974" s="0" t="e">
        <f aca="false">IF(D974,"{""sku"":"""&amp;B974&amp;""", ""costo"":"&amp;C974&amp;", ""grupo"":"""&amp;A974&amp;""", ""lote"":"&amp;D974&amp;", ""tiempo"":"&amp;E974&amp;", "&amp;F974&amp;", ""vencimiento"":"&amp;G974&amp;IF(I974,", ""precio"":"&amp;I974,)&amp;", ""tipo"":"""&amp;H974&amp;"""},",)</f>
        <v>#VALUE!</v>
      </c>
    </row>
    <row r="975" customFormat="false" ht="13" hidden="false" customHeight="false" outlineLevel="0" collapsed="false">
      <c r="A975" s="17" t="n">
        <v>14</v>
      </c>
      <c r="B975" s="0" t="n">
        <f aca="false">IFERROR(__xludf.dummyfunction("""COMPUTED_VALUE"""),1307)</f>
        <v>1307</v>
      </c>
      <c r="C975" s="24" t="n">
        <f aca="false">IFERROR(__xludf.dummyfunction("""COMPUTED_VALUE"""),50)</f>
        <v>50</v>
      </c>
      <c r="D975" s="0" t="n">
        <f aca="false">IFERROR(__xludf.dummyfunction("""COMPUTED_VALUE"""),11)</f>
        <v>11</v>
      </c>
      <c r="E975" s="0" t="n">
        <f aca="false">IFERROR(__xludf.dummyfunction("""COMPUTED_VALUE"""),30)</f>
        <v>30</v>
      </c>
      <c r="F975" s="0" t="str">
        <f aca="false">IFERROR(__xludf.dummyfunction("filter(Formulas!$C:$C,Formulas!$A:$A=B975)"),"""formula"":[{""sku"":""1007"",""req"":1}]")</f>
        <v>"formula":[{"sku":"1007","req":1}]</v>
      </c>
      <c r="G975" s="0" t="n">
        <f aca="false">IFERROR(__xludf.dummyfunction("""COMPUTED_VALUE"""),1.2)</f>
        <v>1.2</v>
      </c>
      <c r="H975" s="21" t="str">
        <f aca="false">IFERROR(__xludf.dummyfunction("IF(D975,filter(Productos!AC:AC,Productos!A:A=B975),)"),"fabrica")</f>
        <v>fabrica</v>
      </c>
      <c r="I975" s="24" t="str">
        <f aca="false">IFERROR(__xludf.dummyfunction("""COMPUTED_VALUE"""),"")</f>
        <v/>
      </c>
      <c r="K975" s="0" t="e">
        <f aca="false">IF(D975,"{""sku"":"""&amp;B975&amp;""", ""costo"":"&amp;C975&amp;", ""grupo"":"""&amp;A975&amp;""", ""lote"":"&amp;D975&amp;", ""tiempo"":"&amp;E975&amp;", "&amp;F975&amp;", ""vencimiento"":"&amp;G975&amp;IF(I975,", ""precio"":"&amp;I975,)&amp;", ""tipo"":"""&amp;H975&amp;"""},",)</f>
        <v>#VALUE!</v>
      </c>
    </row>
    <row r="976" customFormat="false" ht="13" hidden="false" customHeight="false" outlineLevel="0" collapsed="false">
      <c r="A976" s="16" t="n">
        <v>14</v>
      </c>
      <c r="B976" s="0" t="n">
        <f aca="false">IFERROR(__xludf.dummyfunction("""COMPUTED_VALUE"""),1309)</f>
        <v>1309</v>
      </c>
      <c r="C976" s="24" t="n">
        <f aca="false">IFERROR(__xludf.dummyfunction("""COMPUTED_VALUE"""),50)</f>
        <v>50</v>
      </c>
      <c r="D976" s="0" t="n">
        <f aca="false">IFERROR(__xludf.dummyfunction("""COMPUTED_VALUE"""),11)</f>
        <v>11</v>
      </c>
      <c r="E976" s="0" t="n">
        <f aca="false">IFERROR(__xludf.dummyfunction("""COMPUTED_VALUE"""),50)</f>
        <v>50</v>
      </c>
      <c r="F976" s="0" t="str">
        <f aca="false">IFERROR(__xludf.dummyfunction("filter(Formulas!$C:$C,Formulas!$A:$A=B976)"),"""formula"":[{""sku"":""1009"",""req"":1}]")</f>
        <v>"formula":[{"sku":"1009","req":1}]</v>
      </c>
      <c r="G976" s="0" t="n">
        <f aca="false">IFERROR(__xludf.dummyfunction("""COMPUTED_VALUE"""),1.2)</f>
        <v>1.2</v>
      </c>
      <c r="H976" s="21" t="str">
        <f aca="false">IFERROR(__xludf.dummyfunction("IF(D976,filter(Productos!AC:AC,Productos!A:A=B976),)"),"fabrica")</f>
        <v>fabrica</v>
      </c>
      <c r="I976" s="24" t="str">
        <f aca="false">IFERROR(__xludf.dummyfunction("""COMPUTED_VALUE"""),"")</f>
        <v/>
      </c>
      <c r="K976" s="0" t="e">
        <f aca="false">IF(D976,"{""sku"":"""&amp;B976&amp;""", ""costo"":"&amp;C976&amp;", ""grupo"":"""&amp;A976&amp;""", ""lote"":"&amp;D976&amp;", ""tiempo"":"&amp;E976&amp;", "&amp;F976&amp;", ""vencimiento"":"&amp;G976&amp;IF(I976,", ""precio"":"&amp;I976,)&amp;", ""tipo"":"""&amp;H976&amp;"""},",)</f>
        <v>#VALUE!</v>
      </c>
    </row>
    <row r="977" customFormat="false" ht="13" hidden="false" customHeight="false" outlineLevel="0" collapsed="false">
      <c r="A977" s="17" t="n">
        <v>14</v>
      </c>
      <c r="B977" s="0" t="n">
        <f aca="false">IFERROR(__xludf.dummyfunction("""COMPUTED_VALUE"""),1310)</f>
        <v>1310</v>
      </c>
      <c r="C977" s="24" t="n">
        <f aca="false">IFERROR(__xludf.dummyfunction("""COMPUTED_VALUE"""),10)</f>
        <v>10</v>
      </c>
      <c r="D977" s="0" t="n">
        <f aca="false">IFERROR(__xludf.dummyfunction("""COMPUTED_VALUE"""),12)</f>
        <v>12</v>
      </c>
      <c r="E977" s="0" t="n">
        <f aca="false">IFERROR(__xludf.dummyfunction("""COMPUTED_VALUE"""),10)</f>
        <v>10</v>
      </c>
      <c r="F977" s="0" t="str">
        <f aca="false">IFERROR(__xludf.dummyfunction("filter(Formulas!$C:$C,Formulas!$A:$A=B977)"),"""formula"":[{""sku"":""1010"",""req"":1}]")</f>
        <v>"formula":[{"sku":"1010","req":1}]</v>
      </c>
      <c r="G977" s="0" t="n">
        <f aca="false">IFERROR(__xludf.dummyfunction("""COMPUTED_VALUE"""),2)</f>
        <v>2</v>
      </c>
      <c r="H977" s="21" t="str">
        <f aca="false">IFERROR(__xludf.dummyfunction("IF(D977,filter(Productos!AC:AC,Productos!A:A=B977),)"),"fabrica")</f>
        <v>fabrica</v>
      </c>
      <c r="I977" s="24" t="str">
        <f aca="false">IFERROR(__xludf.dummyfunction("""COMPUTED_VALUE"""),"")</f>
        <v/>
      </c>
      <c r="K977" s="0" t="e">
        <f aca="false">IF(D977,"{""sku"":"""&amp;B977&amp;""", ""costo"":"&amp;C977&amp;", ""grupo"":"""&amp;A977&amp;""", ""lote"":"&amp;D977&amp;", ""tiempo"":"&amp;E977&amp;", "&amp;F977&amp;", ""vencimiento"":"&amp;G977&amp;IF(I977,", ""precio"":"&amp;I977,)&amp;", ""tipo"":"""&amp;H977&amp;"""},",)</f>
        <v>#VALUE!</v>
      </c>
    </row>
    <row r="978" customFormat="false" ht="13" hidden="false" customHeight="false" outlineLevel="0" collapsed="false">
      <c r="A978" s="16" t="n">
        <v>14</v>
      </c>
      <c r="B978" s="0" t="n">
        <f aca="false">IFERROR(__xludf.dummyfunction("""COMPUTED_VALUE"""),1407)</f>
        <v>1407</v>
      </c>
      <c r="C978" s="24" t="n">
        <f aca="false">IFERROR(__xludf.dummyfunction("""COMPUTED_VALUE"""),10)</f>
        <v>10</v>
      </c>
      <c r="D978" s="0" t="n">
        <f aca="false">IFERROR(__xludf.dummyfunction("""COMPUTED_VALUE"""),14)</f>
        <v>14</v>
      </c>
      <c r="E978" s="0" t="n">
        <f aca="false">IFERROR(__xludf.dummyfunction("""COMPUTED_VALUE"""),30)</f>
        <v>30</v>
      </c>
      <c r="F978" s="0" t="str">
        <f aca="false">IFERROR(__xludf.dummyfunction("filter(Formulas!$C:$C,Formulas!$A:$A=B978)"),"""formula"":[{""sku"":""1007"",""req"":1}]")</f>
        <v>"formula":[{"sku":"1007","req":1}]</v>
      </c>
      <c r="G978" s="0" t="n">
        <f aca="false">IFERROR(__xludf.dummyfunction("""COMPUTED_VALUE"""),2)</f>
        <v>2</v>
      </c>
      <c r="H978" s="21" t="str">
        <f aca="false">IFERROR(__xludf.dummyfunction("IF(D978,filter(Productos!AC:AC,Productos!A:A=B978),)"),"fabrica")</f>
        <v>fabrica</v>
      </c>
      <c r="I978" s="24" t="str">
        <f aca="false">IFERROR(__xludf.dummyfunction("""COMPUTED_VALUE"""),"")</f>
        <v/>
      </c>
      <c r="K978" s="0" t="e">
        <f aca="false">IF(D978,"{""sku"":"""&amp;B978&amp;""", ""costo"":"&amp;C978&amp;", ""grupo"":"""&amp;A978&amp;""", ""lote"":"&amp;D978&amp;", ""tiempo"":"&amp;E978&amp;", "&amp;F978&amp;", ""vencimiento"":"&amp;G978&amp;IF(I978,", ""precio"":"&amp;I978,)&amp;", ""tipo"":"""&amp;H978&amp;"""},",)</f>
        <v>#VALUE!</v>
      </c>
    </row>
    <row r="979" customFormat="false" ht="13" hidden="false" customHeight="false" outlineLevel="0" collapsed="false">
      <c r="A979" s="17" t="n">
        <v>14</v>
      </c>
      <c r="B979" s="0" t="n">
        <f aca="false">IFERROR(__xludf.dummyfunction("""COMPUTED_VALUE"""),10001)</f>
        <v>10001</v>
      </c>
      <c r="C979" s="24" t="n">
        <f aca="false">IFERROR(__xludf.dummyfunction("""COMPUTED_VALUE"""),10)</f>
        <v>10</v>
      </c>
      <c r="D979" s="0" t="n">
        <f aca="false">IFERROR(__xludf.dummyfunction("""COMPUTED_VALUE"""),1)</f>
        <v>1</v>
      </c>
      <c r="E979" s="0" t="n">
        <f aca="false">IFERROR(__xludf.dummyfunction("""COMPUTED_VALUE"""),10)</f>
        <v>10</v>
      </c>
      <c r="F979" s="0" t="str">
        <f aca="false">IFERROR(__xludf.dummyfunction("filter(Formulas!$C:$C,Formulas!$A:$A=B979)"),"""formula"":[{""sku"":""1201"",""req"":1},{""sku"":""1105"",""req"":1},{""sku"":""1210"",""req"":1},{""sku"":""1211"",""req"":1},{""sku"":""1116"",""req"":1}]")</f>
        <v>"formula":[{"sku":"1201","req":1},{"sku":"1105","req":1},{"sku":"1210","req":1},{"sku":"1211","req":1},{"sku":"1116","req":1}]</v>
      </c>
      <c r="G979" s="0" t="n">
        <f aca="false">IFERROR(__xludf.dummyfunction("""COMPUTED_VALUE"""),1)</f>
        <v>1</v>
      </c>
      <c r="H979" s="21" t="str">
        <f aca="false">IFERROR(__xludf.dummyfunction("IF(D979,filter(Productos!AC:AC,Productos!A:A=B979),)"),"cocina")</f>
        <v>cocina</v>
      </c>
      <c r="I979" s="24" t="n">
        <f aca="false">IFERROR(__xludf.dummyfunction("""COMPUTED_VALUE"""),4500)</f>
        <v>4500</v>
      </c>
      <c r="K979" s="0" t="str">
        <f aca="false">IF(D979,"{""sku"":"""&amp;B979&amp;""", ""costo"":"&amp;C979&amp;", ""grupo"":"""&amp;A979&amp;""", ""lote"":"&amp;D979&amp;", ""tiempo"":"&amp;E979&amp;", "&amp;F979&amp;", ""vencimiento"":"&amp;G979&amp;IF(I979,", ""precio"":"&amp;I979,)&amp;", ""tipo"":"""&amp;H979&amp;"""},",)</f>
        <v>{"sku":"10001", "costo":10, "grupo":"14", "lote":1, "tiempo":10, "formula":[{"sku":"1201","req":1},{"sku":"1105","req":1},{"sku":"1210","req":1},{"sku":"1211","req":1},{"sku":"1116","req":1}], "vencimiento":1, "precio":4500, "tipo":"cocina"},</v>
      </c>
    </row>
    <row r="980" customFormat="false" ht="13" hidden="false" customHeight="false" outlineLevel="0" collapsed="false">
      <c r="A980" s="16" t="n">
        <v>14</v>
      </c>
      <c r="B980" s="0" t="n">
        <f aca="false">IFERROR(__xludf.dummyfunction("""COMPUTED_VALUE"""),10002)</f>
        <v>10002</v>
      </c>
      <c r="C980" s="24" t="n">
        <f aca="false">IFERROR(__xludf.dummyfunction("""COMPUTED_VALUE"""),10)</f>
        <v>10</v>
      </c>
      <c r="D980" s="0" t="n">
        <f aca="false">IFERROR(__xludf.dummyfunction("""COMPUTED_VALUE"""),1)</f>
        <v>1</v>
      </c>
      <c r="E980" s="0" t="n">
        <f aca="false">IFERROR(__xludf.dummyfunction("""COMPUTED_VALUE"""),20)</f>
        <v>20</v>
      </c>
      <c r="F980" s="0" t="str">
        <f aca="false">IFERROR(__xludf.dummyfunction("filter(Formulas!$C:$C,Formulas!$A:$A=B980)"),"""formula"":[{""sku"":""1201"",""req"":1},{""sku"":""1105"",""req"":1},{""sku"":""1013"",""req"":5},{""sku"":""1210"",""req"":1},{""sku"":""1116"",""req"":1}]")</f>
        <v>"formula":[{"sku":"1201","req":1},{"sku":"1105","req":1},{"sku":"1013","req":5},{"sku":"1210","req":1},{"sku":"1116","req":1}]</v>
      </c>
      <c r="G980" s="0" t="n">
        <f aca="false">IFERROR(__xludf.dummyfunction("""COMPUTED_VALUE"""),1)</f>
        <v>1</v>
      </c>
      <c r="H980" s="21" t="str">
        <f aca="false">IFERROR(__xludf.dummyfunction("IF(D980,filter(Productos!AC:AC,Productos!A:A=B980),)"),"cocina")</f>
        <v>cocina</v>
      </c>
      <c r="I980" s="24" t="n">
        <f aca="false">IFERROR(__xludf.dummyfunction("""COMPUTED_VALUE"""),4500)</f>
        <v>4500</v>
      </c>
      <c r="K980" s="0" t="str">
        <f aca="false">IF(D980,"{""sku"":"""&amp;B980&amp;""", ""costo"":"&amp;C980&amp;", ""grupo"":"""&amp;A980&amp;""", ""lote"":"&amp;D980&amp;", ""tiempo"":"&amp;E980&amp;", "&amp;F980&amp;", ""vencimiento"":"&amp;G980&amp;IF(I980,", ""precio"":"&amp;I980,)&amp;", ""tipo"":"""&amp;H980&amp;"""},",)</f>
        <v>{"sku":"10002", "costo":10, "grupo":"14", "lote":1, "tiempo":20, "formula":[{"sku":"1201","req":1},{"sku":"1105","req":1},{"sku":"1013","req":5},{"sku":"1210","req":1},{"sku":"1116","req":1}], "vencimiento":1, "precio":4500, "tipo":"cocina"},</v>
      </c>
    </row>
    <row r="981" customFormat="false" ht="13" hidden="false" customHeight="false" outlineLevel="0" collapsed="false">
      <c r="A981" s="17" t="n">
        <v>14</v>
      </c>
      <c r="B981" s="0" t="n">
        <f aca="false">IFERROR(__xludf.dummyfunction("""COMPUTED_VALUE"""),10003)</f>
        <v>10003</v>
      </c>
      <c r="C981" s="24" t="n">
        <f aca="false">IFERROR(__xludf.dummyfunction("""COMPUTED_VALUE"""),10)</f>
        <v>10</v>
      </c>
      <c r="D981" s="0" t="n">
        <f aca="false">IFERROR(__xludf.dummyfunction("""COMPUTED_VALUE"""),1)</f>
        <v>1</v>
      </c>
      <c r="E981" s="0" t="n">
        <f aca="false">IFERROR(__xludf.dummyfunction("""COMPUTED_VALUE"""),30)</f>
        <v>30</v>
      </c>
      <c r="F981" s="0" t="str">
        <f aca="false">IFERROR(__xludf.dummyfunction("filter(Formulas!$C:$C,Formulas!$A:$A=B981)"),"""formula"":[{""sku"":""1201"",""req"":1},{""sku"":""1105"",""req"":1},{""sku"":""1013"",""req"":5},{""sku"":""1210"",""req"":1},{""sku"":""1211"",""req"":1},{""sku"":""1116"",""req"":1}]")</f>
        <v>"formula":[{"sku":"1201","req":1},{"sku":"1105","req":1},{"sku":"1013","req":5},{"sku":"1210","req":1},{"sku":"1211","req":1},{"sku":"1116","req":1}]</v>
      </c>
      <c r="G981" s="0" t="n">
        <f aca="false">IFERROR(__xludf.dummyfunction("""COMPUTED_VALUE"""),1)</f>
        <v>1</v>
      </c>
      <c r="H981" s="21" t="str">
        <f aca="false">IFERROR(__xludf.dummyfunction("IF(D981,filter(Productos!AC:AC,Productos!A:A=B981),)"),"cocina")</f>
        <v>cocina</v>
      </c>
      <c r="I981" s="24" t="n">
        <f aca="false">IFERROR(__xludf.dummyfunction("""COMPUTED_VALUE"""),4700)</f>
        <v>4700</v>
      </c>
      <c r="K981" s="0" t="str">
        <f aca="false">IF(D981,"{""sku"":"""&amp;B981&amp;""", ""costo"":"&amp;C981&amp;", ""grupo"":"""&amp;A981&amp;""", ""lote"":"&amp;D981&amp;", ""tiempo"":"&amp;E981&amp;", "&amp;F981&amp;", ""vencimiento"":"&amp;G981&amp;IF(I981,", ""precio"":"&amp;I981,)&amp;", ""tipo"":"""&amp;H981&amp;"""},",)</f>
        <v>{"sku":"10003", "costo":10, "grupo":"14", "lote":1, "tiempo":30, "formula":[{"sku":"1201","req":1},{"sku":"1105","req":1},{"sku":"1013","req":5},{"sku":"1210","req":1},{"sku":"1211","req":1},{"sku":"1116","req":1}], "vencimiento":1, "precio":4700, "tipo":"cocina"},</v>
      </c>
    </row>
    <row r="982" customFormat="false" ht="13" hidden="false" customHeight="false" outlineLevel="0" collapsed="false">
      <c r="A982" s="16" t="n">
        <v>14</v>
      </c>
      <c r="B982" s="0" t="n">
        <f aca="false">IFERROR(__xludf.dummyfunction("""COMPUTED_VALUE"""),10004)</f>
        <v>10004</v>
      </c>
      <c r="C982" s="24" t="n">
        <f aca="false">IFERROR(__xludf.dummyfunction("""COMPUTED_VALUE"""),10)</f>
        <v>10</v>
      </c>
      <c r="D982" s="0" t="n">
        <f aca="false">IFERROR(__xludf.dummyfunction("""COMPUTED_VALUE"""),1)</f>
        <v>1</v>
      </c>
      <c r="E982" s="0" t="n">
        <f aca="false">IFERROR(__xludf.dummyfunction("""COMPUTED_VALUE"""),10)</f>
        <v>10</v>
      </c>
      <c r="F982" s="0" t="str">
        <f aca="false">IFERROR(__xludf.dummyfunction("filter(Formulas!$C:$C,Formulas!$A:$A=B982)"),"""formula"":[{""sku"":""1201"",""req"":1},{""sku"":""1106"",""req"":4},{""sku"":""1210"",""req"":1},{""sku"":""1211"",""req"":1},{""sku"":""1116"",""req"":1}]")</f>
        <v>"formula":[{"sku":"1201","req":1},{"sku":"1106","req":4},{"sku":"1210","req":1},{"sku":"1211","req":1},{"sku":"1116","req":1}]</v>
      </c>
      <c r="G982" s="0" t="n">
        <f aca="false">IFERROR(__xludf.dummyfunction("""COMPUTED_VALUE"""),1)</f>
        <v>1</v>
      </c>
      <c r="H982" s="21" t="str">
        <f aca="false">IFERROR(__xludf.dummyfunction("IF(D982,filter(Productos!AC:AC,Productos!A:A=B982),)"),"cocina")</f>
        <v>cocina</v>
      </c>
      <c r="I982" s="24" t="n">
        <f aca="false">IFERROR(__xludf.dummyfunction("""COMPUTED_VALUE"""),4700)</f>
        <v>4700</v>
      </c>
      <c r="K982" s="0" t="str">
        <f aca="false">IF(D982,"{""sku"":"""&amp;B982&amp;""", ""costo"":"&amp;C982&amp;", ""grupo"":"""&amp;A982&amp;""", ""lote"":"&amp;D982&amp;", ""tiempo"":"&amp;E982&amp;", "&amp;F982&amp;", ""vencimiento"":"&amp;G982&amp;IF(I982,", ""precio"":"&amp;I982,)&amp;", ""tipo"":"""&amp;H982&amp;"""},",)</f>
        <v>{"sku":"10004", "costo":10, "grupo":"14", "lote":1, "tiempo":10, "formula":[{"sku":"1201","req":1},{"sku":"1106","req":4},{"sku":"1210","req":1},{"sku":"1211","req":1},{"sku":"1116","req":1}], "vencimiento":1, "precio":4700, "tipo":"cocina"},</v>
      </c>
    </row>
    <row r="983" customFormat="false" ht="13" hidden="false" customHeight="false" outlineLevel="0" collapsed="false">
      <c r="A983" s="17" t="n">
        <v>14</v>
      </c>
      <c r="B983" s="0" t="n">
        <f aca="false">IFERROR(__xludf.dummyfunction("""COMPUTED_VALUE"""),10005)</f>
        <v>10005</v>
      </c>
      <c r="C983" s="24" t="n">
        <f aca="false">IFERROR(__xludf.dummyfunction("""COMPUTED_VALUE"""),10)</f>
        <v>10</v>
      </c>
      <c r="D983" s="0" t="n">
        <f aca="false">IFERROR(__xludf.dummyfunction("""COMPUTED_VALUE"""),1)</f>
        <v>1</v>
      </c>
      <c r="E983" s="0" t="n">
        <f aca="false">IFERROR(__xludf.dummyfunction("""COMPUTED_VALUE"""),20)</f>
        <v>20</v>
      </c>
      <c r="F983" s="0" t="str">
        <f aca="false">IFERROR(__xludf.dummyfunction("filter(Formulas!$C:$C,Formulas!$A:$A=B983)"),"""formula"":[{""sku"":""1201"",""req"":1},{""sku"":""1106"",""req"":4},{""sku"":""1013"",""req"":5},{""sku"":""1210"",""req"":1},{""sku"":""1116"",""req"":1}]")</f>
        <v>"formula":[{"sku":"1201","req":1},{"sku":"1106","req":4},{"sku":"1013","req":5},{"sku":"1210","req":1},{"sku":"1116","req":1}]</v>
      </c>
      <c r="G983" s="0" t="n">
        <f aca="false">IFERROR(__xludf.dummyfunction("""COMPUTED_VALUE"""),1)</f>
        <v>1</v>
      </c>
      <c r="H983" s="21" t="str">
        <f aca="false">IFERROR(__xludf.dummyfunction("IF(D983,filter(Productos!AC:AC,Productos!A:A=B983),)"),"cocina")</f>
        <v>cocina</v>
      </c>
      <c r="I983" s="24" t="n">
        <f aca="false">IFERROR(__xludf.dummyfunction("""COMPUTED_VALUE"""),4700)</f>
        <v>4700</v>
      </c>
      <c r="K983" s="0" t="str">
        <f aca="false">IF(D983,"{""sku"":"""&amp;B983&amp;""", ""costo"":"&amp;C983&amp;", ""grupo"":"""&amp;A983&amp;""", ""lote"":"&amp;D983&amp;", ""tiempo"":"&amp;E983&amp;", "&amp;F983&amp;", ""vencimiento"":"&amp;G983&amp;IF(I983,", ""precio"":"&amp;I983,)&amp;", ""tipo"":"""&amp;H983&amp;"""},",)</f>
        <v>{"sku":"10005", "costo":10, "grupo":"14", "lote":1, "tiempo":20, "formula":[{"sku":"1201","req":1},{"sku":"1106","req":4},{"sku":"1013","req":5},{"sku":"1210","req":1},{"sku":"1116","req":1}], "vencimiento":1, "precio":4700, "tipo":"cocina"},</v>
      </c>
    </row>
    <row r="984" customFormat="false" ht="13" hidden="false" customHeight="false" outlineLevel="0" collapsed="false">
      <c r="A984" s="16" t="n">
        <v>14</v>
      </c>
      <c r="B984" s="0" t="n">
        <f aca="false">IFERROR(__xludf.dummyfunction("""COMPUTED_VALUE"""),10006)</f>
        <v>10006</v>
      </c>
      <c r="C984" s="24" t="n">
        <f aca="false">IFERROR(__xludf.dummyfunction("""COMPUTED_VALUE"""),10)</f>
        <v>10</v>
      </c>
      <c r="D984" s="0" t="n">
        <f aca="false">IFERROR(__xludf.dummyfunction("""COMPUTED_VALUE"""),1)</f>
        <v>1</v>
      </c>
      <c r="E984" s="0" t="n">
        <f aca="false">IFERROR(__xludf.dummyfunction("""COMPUTED_VALUE"""),10)</f>
        <v>10</v>
      </c>
      <c r="F984" s="0" t="str">
        <f aca="false">IFERROR(__xludf.dummyfunction("filter(Formulas!$C:$C,Formulas!$A:$A=B984)"),"""formula"":[{""sku"":""1201"",""req"":1},{""sku"":""1210"",""req"":1},{""sku"":""1107"",""req"":1},{""sku"":""1211"",""req"":1},{""sku"":""1116"",""req"":1}]")</f>
        <v>"formula":[{"sku":"1201","req":1},{"sku":"1210","req":1},{"sku":"1107","req":1},{"sku":"1211","req":1},{"sku":"1116","req":1}]</v>
      </c>
      <c r="G984" s="0" t="n">
        <f aca="false">IFERROR(__xludf.dummyfunction("""COMPUTED_VALUE"""),1)</f>
        <v>1</v>
      </c>
      <c r="H984" s="21" t="str">
        <f aca="false">IFERROR(__xludf.dummyfunction("IF(D984,filter(Productos!AC:AC,Productos!A:A=B984),)"),"cocina")</f>
        <v>cocina</v>
      </c>
      <c r="I984" s="24" t="n">
        <f aca="false">IFERROR(__xludf.dummyfunction("""COMPUTED_VALUE"""),4900)</f>
        <v>4900</v>
      </c>
      <c r="K984" s="0" t="str">
        <f aca="false">IF(D984,"{""sku"":"""&amp;B984&amp;""", ""costo"":"&amp;C984&amp;", ""grupo"":"""&amp;A984&amp;""", ""lote"":"&amp;D984&amp;", ""tiempo"":"&amp;E984&amp;", "&amp;F984&amp;", ""vencimiento"":"&amp;G984&amp;IF(I984,", ""precio"":"&amp;I984,)&amp;", ""tipo"":"""&amp;H984&amp;"""},",)</f>
        <v>{"sku":"10006", "costo":10, "grupo":"14", "lote":1, "tiempo":10, "formula":[{"sku":"1201","req":1},{"sku":"1210","req":1},{"sku":"1107","req":1},{"sku":"1211","req":1},{"sku":"1116","req":1}], "vencimiento":1, "precio":4900, "tipo":"cocina"},</v>
      </c>
    </row>
    <row r="985" customFormat="false" ht="13" hidden="false" customHeight="false" outlineLevel="0" collapsed="false">
      <c r="A985" s="17" t="n">
        <v>14</v>
      </c>
      <c r="B985" s="0" t="n">
        <f aca="false">IFERROR(__xludf.dummyfunction("""COMPUTED_VALUE"""),10007)</f>
        <v>10007</v>
      </c>
      <c r="C985" s="24" t="n">
        <f aca="false">IFERROR(__xludf.dummyfunction("""COMPUTED_VALUE"""),10)</f>
        <v>10</v>
      </c>
      <c r="D985" s="0" t="n">
        <f aca="false">IFERROR(__xludf.dummyfunction("""COMPUTED_VALUE"""),1)</f>
        <v>1</v>
      </c>
      <c r="E985" s="0" t="n">
        <f aca="false">IFERROR(__xludf.dummyfunction("""COMPUTED_VALUE"""),20)</f>
        <v>20</v>
      </c>
      <c r="F985" s="0" t="str">
        <f aca="false">IFERROR(__xludf.dummyfunction("filter(Formulas!$C:$C,Formulas!$A:$A=B985)"),"""formula"":[{""sku"":""1201"",""req"":1},{""sku"":""1013"",""req"":5},{""sku"":""1210"",""req"":1},{""sku"":""1107"",""req"":1},{""sku"":""1116"",""req"":1}]")</f>
        <v>"formula":[{"sku":"1201","req":1},{"sku":"1013","req":5},{"sku":"1210","req":1},{"sku":"1107","req":1},{"sku":"1116","req":1}]</v>
      </c>
      <c r="G985" s="0" t="n">
        <f aca="false">IFERROR(__xludf.dummyfunction("""COMPUTED_VALUE"""),1)</f>
        <v>1</v>
      </c>
      <c r="H985" s="21" t="str">
        <f aca="false">IFERROR(__xludf.dummyfunction("IF(D985,filter(Productos!AC:AC,Productos!A:A=B985),)"),"cocina")</f>
        <v>cocina</v>
      </c>
      <c r="I985" s="24" t="n">
        <f aca="false">IFERROR(__xludf.dummyfunction("""COMPUTED_VALUE"""),4900)</f>
        <v>4900</v>
      </c>
      <c r="K985" s="0" t="str">
        <f aca="false">IF(D985,"{""sku"":"""&amp;B985&amp;""", ""costo"":"&amp;C985&amp;", ""grupo"":"""&amp;A985&amp;""", ""lote"":"&amp;D985&amp;", ""tiempo"":"&amp;E985&amp;", "&amp;F985&amp;", ""vencimiento"":"&amp;G985&amp;IF(I985,", ""precio"":"&amp;I985,)&amp;", ""tipo"":"""&amp;H985&amp;"""},",)</f>
        <v>{"sku":"10007", "costo":10, "grupo":"14", "lote":1, "tiempo":20, "formula":[{"sku":"1201","req":1},{"sku":"1013","req":5},{"sku":"1210","req":1},{"sku":"1107","req":1},{"sku":"1116","req":1}], "vencimiento":1, "precio":4900, "tipo":"cocina"},</v>
      </c>
    </row>
    <row r="986" customFormat="false" ht="13" hidden="false" customHeight="false" outlineLevel="0" collapsed="false">
      <c r="A986" s="16" t="n">
        <v>14</v>
      </c>
      <c r="B986" s="0" t="n">
        <f aca="false">IFERROR(__xludf.dummyfunction("""COMPUTED_VALUE"""),10008)</f>
        <v>10008</v>
      </c>
      <c r="C986" s="24" t="n">
        <f aca="false">IFERROR(__xludf.dummyfunction("""COMPUTED_VALUE"""),10)</f>
        <v>10</v>
      </c>
      <c r="D986" s="0" t="n">
        <f aca="false">IFERROR(__xludf.dummyfunction("""COMPUTED_VALUE"""),1)</f>
        <v>1</v>
      </c>
      <c r="E986" s="0" t="n">
        <f aca="false">IFERROR(__xludf.dummyfunction("""COMPUTED_VALUE"""),20)</f>
        <v>20</v>
      </c>
      <c r="F986" s="0" t="str">
        <f aca="false">IFERROR(__xludf.dummyfunction("filter(Formulas!$C:$C,Formulas!$A:$A=B986)"),"""formula"":[{""sku"":""1201"",""req"":1},{""sku"":""1109"",""req"":1},{""sku"":""1210"",""req"":1},{""sku"":""1211"",""req"":1},{""sku"":""1116"",""req"":1}]")</f>
        <v>"formula":[{"sku":"1201","req":1},{"sku":"1109","req":1},{"sku":"1210","req":1},{"sku":"1211","req":1},{"sku":"1116","req":1}]</v>
      </c>
      <c r="G986" s="0" t="n">
        <f aca="false">IFERROR(__xludf.dummyfunction("""COMPUTED_VALUE"""),1)</f>
        <v>1</v>
      </c>
      <c r="H986" s="21" t="str">
        <f aca="false">IFERROR(__xludf.dummyfunction("IF(D986,filter(Productos!AC:AC,Productos!A:A=B986),)"),"cocina")</f>
        <v>cocina</v>
      </c>
      <c r="I986" s="24" t="n">
        <f aca="false">IFERROR(__xludf.dummyfunction("""COMPUTED_VALUE"""),4900)</f>
        <v>4900</v>
      </c>
      <c r="K986" s="0" t="str">
        <f aca="false">IF(D986,"{""sku"":"""&amp;B986&amp;""", ""costo"":"&amp;C986&amp;", ""grupo"":"""&amp;A986&amp;""", ""lote"":"&amp;D986&amp;", ""tiempo"":"&amp;E986&amp;", "&amp;F986&amp;", ""vencimiento"":"&amp;G986&amp;IF(I986,", ""precio"":"&amp;I986,)&amp;", ""tipo"":"""&amp;H986&amp;"""},",)</f>
        <v>{"sku":"10008", "costo":10, "grupo":"14", "lote":1, "tiempo":20, "formula":[{"sku":"1201","req":1},{"sku":"1109","req":1},{"sku":"1210","req":1},{"sku":"1211","req":1},{"sku":"1116","req":1}], "vencimiento":1, "precio":4900, "tipo":"cocina"},</v>
      </c>
    </row>
    <row r="987" customFormat="false" ht="13" hidden="false" customHeight="false" outlineLevel="0" collapsed="false">
      <c r="A987" s="17" t="n">
        <v>14</v>
      </c>
      <c r="B987" s="0" t="n">
        <f aca="false">IFERROR(__xludf.dummyfunction("""COMPUTED_VALUE"""),10009)</f>
        <v>10009</v>
      </c>
      <c r="C987" s="24" t="n">
        <f aca="false">IFERROR(__xludf.dummyfunction("""COMPUTED_VALUE"""),10)</f>
        <v>10</v>
      </c>
      <c r="D987" s="0" t="n">
        <f aca="false">IFERROR(__xludf.dummyfunction("""COMPUTED_VALUE"""),1)</f>
        <v>1</v>
      </c>
      <c r="E987" s="0" t="n">
        <f aca="false">IFERROR(__xludf.dummyfunction("""COMPUTED_VALUE"""),30)</f>
        <v>30</v>
      </c>
      <c r="F987" s="0" t="str">
        <f aca="false">IFERROR(__xludf.dummyfunction("filter(Formulas!$C:$C,Formulas!$A:$A=B987)"),"""formula"":[{""sku"":""1201"",""req"":1},{""sku"":""1109"",""req"":1},{""sku"":""1013"",""req"":5},{""sku"":""1210"",""req"":1},{""sku"":""1116"",""req"":1}]")</f>
        <v>"formula":[{"sku":"1201","req":1},{"sku":"1109","req":1},{"sku":"1013","req":5},{"sku":"1210","req":1},{"sku":"1116","req":1}]</v>
      </c>
      <c r="G987" s="0" t="n">
        <f aca="false">IFERROR(__xludf.dummyfunction("""COMPUTED_VALUE"""),1)</f>
        <v>1</v>
      </c>
      <c r="H987" s="21" t="str">
        <f aca="false">IFERROR(__xludf.dummyfunction("IF(D987,filter(Productos!AC:AC,Productos!A:A=B987),)"),"cocina")</f>
        <v>cocina</v>
      </c>
      <c r="I987" s="24" t="n">
        <f aca="false">IFERROR(__xludf.dummyfunction("""COMPUTED_VALUE"""),4900)</f>
        <v>4900</v>
      </c>
      <c r="K987" s="0" t="str">
        <f aca="false">IF(D987,"{""sku"":"""&amp;B987&amp;""", ""costo"":"&amp;C987&amp;", ""grupo"":"""&amp;A987&amp;""", ""lote"":"&amp;D987&amp;", ""tiempo"":"&amp;E987&amp;", "&amp;F987&amp;", ""vencimiento"":"&amp;G987&amp;IF(I987,", ""precio"":"&amp;I987,)&amp;", ""tipo"":"""&amp;H987&amp;"""},",)</f>
        <v>{"sku":"10009", "costo":10, "grupo":"14", "lote":1, "tiempo":30, "formula":[{"sku":"1201","req":1},{"sku":"1109","req":1},{"sku":"1013","req":5},{"sku":"1210","req":1},{"sku":"1116","req":1}], "vencimiento":1, "precio":4900, "tipo":"cocina"},</v>
      </c>
    </row>
    <row r="988" customFormat="false" ht="13" hidden="false" customHeight="false" outlineLevel="0" collapsed="false">
      <c r="A988" s="16" t="n">
        <v>14</v>
      </c>
      <c r="B988" s="0" t="n">
        <f aca="false">IFERROR(__xludf.dummyfunction("""COMPUTED_VALUE"""),10010)</f>
        <v>10010</v>
      </c>
      <c r="C988" s="24" t="n">
        <f aca="false">IFERROR(__xludf.dummyfunction("""COMPUTED_VALUE"""),10)</f>
        <v>10</v>
      </c>
      <c r="D988" s="0" t="n">
        <f aca="false">IFERROR(__xludf.dummyfunction("""COMPUTED_VALUE"""),1)</f>
        <v>1</v>
      </c>
      <c r="E988" s="0" t="n">
        <f aca="false">IFERROR(__xludf.dummyfunction("""COMPUTED_VALUE"""),10)</f>
        <v>10</v>
      </c>
      <c r="F988" s="0" t="str">
        <f aca="false">IFERROR(__xludf.dummyfunction("filter(Formulas!$C:$C,Formulas!$A:$A=B988)"),"""formula"":[{""sku"":""1201"",""req"":1},{""sku"":""1106"",""req"":4},{""sku"":""1210"",""req"":1},{""sku"":""1110"",""req"":1},{""sku"":""1116"",""req"":1}]")</f>
        <v>"formula":[{"sku":"1201","req":1},{"sku":"1106","req":4},{"sku":"1210","req":1},{"sku":"1110","req":1},{"sku":"1116","req":1}]</v>
      </c>
      <c r="G988" s="0" t="n">
        <f aca="false">IFERROR(__xludf.dummyfunction("""COMPUTED_VALUE"""),1)</f>
        <v>1</v>
      </c>
      <c r="H988" s="21" t="str">
        <f aca="false">IFERROR(__xludf.dummyfunction("IF(D988,filter(Productos!AC:AC,Productos!A:A=B988),)"),"cocina")</f>
        <v>cocina</v>
      </c>
      <c r="I988" s="24" t="n">
        <f aca="false">IFERROR(__xludf.dummyfunction("""COMPUTED_VALUE"""),4900)</f>
        <v>4900</v>
      </c>
      <c r="K988" s="0" t="str">
        <f aca="false">IF(D988,"{""sku"":"""&amp;B988&amp;""", ""costo"":"&amp;C988&amp;", ""grupo"":"""&amp;A988&amp;""", ""lote"":"&amp;D988&amp;", ""tiempo"":"&amp;E988&amp;", "&amp;F988&amp;", ""vencimiento"":"&amp;G988&amp;IF(I988,", ""precio"":"&amp;I988,)&amp;", ""tipo"":"""&amp;H988&amp;"""},",)</f>
        <v>{"sku":"10010", "costo":10, "grupo":"14", "lote":1, "tiempo":10, "formula":[{"sku":"1201","req":1},{"sku":"1106","req":4},{"sku":"1210","req":1},{"sku":"1110","req":1},{"sku":"1116","req":1}], "vencimiento":1, "precio":4900, "tipo":"cocina"},</v>
      </c>
    </row>
    <row r="989" customFormat="false" ht="13" hidden="false" customHeight="false" outlineLevel="0" collapsed="false">
      <c r="A989" s="17" t="n">
        <v>14</v>
      </c>
      <c r="B989" s="0" t="n">
        <f aca="false">IFERROR(__xludf.dummyfunction("""COMPUTED_VALUE"""),10011)</f>
        <v>10011</v>
      </c>
      <c r="C989" s="24" t="n">
        <f aca="false">IFERROR(__xludf.dummyfunction("""COMPUTED_VALUE"""),10)</f>
        <v>10</v>
      </c>
      <c r="D989" s="0" t="n">
        <f aca="false">IFERROR(__xludf.dummyfunction("""COMPUTED_VALUE"""),1)</f>
        <v>1</v>
      </c>
      <c r="E989" s="0" t="n">
        <f aca="false">IFERROR(__xludf.dummyfunction("""COMPUTED_VALUE"""),20)</f>
        <v>20</v>
      </c>
      <c r="F989" s="0" t="str">
        <f aca="false">IFERROR(__xludf.dummyfunction("filter(Formulas!$C:$C,Formulas!$A:$A=B989)"),"""formula"":[{""sku"":""1201"",""req"":1},{""sku"":""1106"",""req"":4},{""sku"":""1114"",""req"":1},{""sku"":""1110"",""req"":1},{""sku"":""1112"",""req"":1},{""sku"":""1116"",""req"":1}]")</f>
        <v>"formula":[{"sku":"1201","req":1},{"sku":"1106","req":4},{"sku":"1114","req":1},{"sku":"1110","req":1},{"sku":"1112","req":1},{"sku":"1116","req":1}]</v>
      </c>
      <c r="G989" s="0" t="n">
        <f aca="false">IFERROR(__xludf.dummyfunction("""COMPUTED_VALUE"""),1)</f>
        <v>1</v>
      </c>
      <c r="H989" s="21" t="str">
        <f aca="false">IFERROR(__xludf.dummyfunction("IF(D989,filter(Productos!AC:AC,Productos!A:A=B989),)"),"cocina")</f>
        <v>cocina</v>
      </c>
      <c r="I989" s="24" t="n">
        <f aca="false">IFERROR(__xludf.dummyfunction("""COMPUTED_VALUE"""),5700)</f>
        <v>5700</v>
      </c>
      <c r="K989" s="0" t="str">
        <f aca="false">IF(D989,"{""sku"":"""&amp;B989&amp;""", ""costo"":"&amp;C989&amp;", ""grupo"":"""&amp;A989&amp;""", ""lote"":"&amp;D989&amp;", ""tiempo"":"&amp;E989&amp;", "&amp;F989&amp;", ""vencimiento"":"&amp;G989&amp;IF(I989,", ""precio"":"&amp;I989,)&amp;", ""tipo"":"""&amp;H989&amp;"""},",)</f>
        <v>{"sku":"10011", "costo":10, "grupo":"14", "lote":1, "tiempo":20, "formula":[{"sku":"1201","req":1},{"sku":"1106","req":4},{"sku":"1114","req":1},{"sku":"1110","req":1},{"sku":"1112","req":1},{"sku":"1116","req":1}], "vencimiento":1, "precio":5700, "tipo":"cocina"},</v>
      </c>
    </row>
    <row r="990" customFormat="false" ht="13" hidden="false" customHeight="false" outlineLevel="0" collapsed="false">
      <c r="A990" s="16" t="n">
        <v>14</v>
      </c>
      <c r="B990" s="0" t="n">
        <f aca="false">IFERROR(__xludf.dummyfunction("""COMPUTED_VALUE"""),10012)</f>
        <v>10012</v>
      </c>
      <c r="C990" s="24" t="n">
        <f aca="false">IFERROR(__xludf.dummyfunction("""COMPUTED_VALUE"""),10)</f>
        <v>10</v>
      </c>
      <c r="D990" s="0" t="n">
        <f aca="false">IFERROR(__xludf.dummyfunction("""COMPUTED_VALUE"""),1)</f>
        <v>1</v>
      </c>
      <c r="E990" s="0" t="n">
        <f aca="false">IFERROR(__xludf.dummyfunction("""COMPUTED_VALUE"""),20)</f>
        <v>20</v>
      </c>
      <c r="F990" s="0" t="str">
        <f aca="false">IFERROR(__xludf.dummyfunction("filter(Formulas!$C:$C,Formulas!$A:$A=B990)"),"""formula"":[{""sku"":""1201"",""req"":1},{""sku"":""1106"",""req"":4},{""sku"":""1110"",""req"":1},{""sku"":""1112"",""req"":1},{""sku"":""1108"",""req"":1},{""sku"":""1116"",""req"":1}]")</f>
        <v>"formula":[{"sku":"1201","req":1},{"sku":"1106","req":4},{"sku":"1110","req":1},{"sku":"1112","req":1},{"sku":"1108","req":1},{"sku":"1116","req":1}]</v>
      </c>
      <c r="G990" s="0" t="n">
        <f aca="false">IFERROR(__xludf.dummyfunction("""COMPUTED_VALUE"""),1)</f>
        <v>1</v>
      </c>
      <c r="H990" s="21" t="str">
        <f aca="false">IFERROR(__xludf.dummyfunction("IF(D990,filter(Productos!AC:AC,Productos!A:A=B990),)"),"cocina")</f>
        <v>cocina</v>
      </c>
      <c r="I990" s="24" t="n">
        <f aca="false">IFERROR(__xludf.dummyfunction("""COMPUTED_VALUE"""),5700)</f>
        <v>5700</v>
      </c>
      <c r="K990" s="0" t="str">
        <f aca="false">IF(D990,"{""sku"":"""&amp;B990&amp;""", ""costo"":"&amp;C990&amp;", ""grupo"":"""&amp;A990&amp;""", ""lote"":"&amp;D990&amp;", ""tiempo"":"&amp;E990&amp;", "&amp;F990&amp;", ""vencimiento"":"&amp;G990&amp;IF(I990,", ""precio"":"&amp;I990,)&amp;", ""tipo"":"""&amp;H990&amp;"""},",)</f>
        <v>{"sku":"10012", "costo":10, "grupo":"14", "lote":1, "tiempo":20, "formula":[{"sku":"1201","req":1},{"sku":"1106","req":4},{"sku":"1110","req":1},{"sku":"1112","req":1},{"sku":"1108","req":1},{"sku":"1116","req":1}], "vencimiento":1, "precio":5700, "tipo":"cocina"},</v>
      </c>
    </row>
    <row r="991" customFormat="false" ht="13" hidden="false" customHeight="false" outlineLevel="0" collapsed="false">
      <c r="A991" s="17" t="n">
        <v>14</v>
      </c>
      <c r="B991" s="0" t="n">
        <f aca="false">IFERROR(__xludf.dummyfunction("""COMPUTED_VALUE"""),10013)</f>
        <v>10013</v>
      </c>
      <c r="C991" s="24" t="n">
        <f aca="false">IFERROR(__xludf.dummyfunction("""COMPUTED_VALUE"""),10)</f>
        <v>10</v>
      </c>
      <c r="D991" s="0" t="n">
        <f aca="false">IFERROR(__xludf.dummyfunction("""COMPUTED_VALUE"""),1)</f>
        <v>1</v>
      </c>
      <c r="E991" s="0" t="n">
        <f aca="false">IFERROR(__xludf.dummyfunction("""COMPUTED_VALUE"""),10)</f>
        <v>10</v>
      </c>
      <c r="F991" s="0" t="str">
        <f aca="false">IFERROR(__xludf.dummyfunction("filter(Formulas!$C:$C,Formulas!$A:$A=B991)"),"""formula"":[{""sku"":""1201"",""req"":1},{""sku"":""1106"",""req"":4},{""sku"":""1110"",""req"":1},{""sku"":""1112"",""req"":1},{""sku"":""1116"",""req"":1}]")</f>
        <v>"formula":[{"sku":"1201","req":1},{"sku":"1106","req":4},{"sku":"1110","req":1},{"sku":"1112","req":1},{"sku":"1116","req":1}]</v>
      </c>
      <c r="G991" s="0" t="n">
        <f aca="false">IFERROR(__xludf.dummyfunction("""COMPUTED_VALUE"""),1)</f>
        <v>1</v>
      </c>
      <c r="H991" s="21" t="str">
        <f aca="false">IFERROR(__xludf.dummyfunction("IF(D991,filter(Productos!AC:AC,Productos!A:A=B991),)"),"cocina")</f>
        <v>cocina</v>
      </c>
      <c r="I991" s="24" t="n">
        <f aca="false">IFERROR(__xludf.dummyfunction("""COMPUTED_VALUE"""),5700)</f>
        <v>5700</v>
      </c>
      <c r="K991" s="0" t="str">
        <f aca="false">IF(D991,"{""sku"":"""&amp;B991&amp;""", ""costo"":"&amp;C991&amp;", ""grupo"":"""&amp;A991&amp;""", ""lote"":"&amp;D991&amp;", ""tiempo"":"&amp;E991&amp;", "&amp;F991&amp;", ""vencimiento"":"&amp;G991&amp;IF(I991,", ""precio"":"&amp;I991,)&amp;", ""tipo"":"""&amp;H991&amp;"""},",)</f>
        <v>{"sku":"10013", "costo":10, "grupo":"14", "lote":1, "tiempo":10, "formula":[{"sku":"1201","req":1},{"sku":"1106","req":4},{"sku":"1110","req":1},{"sku":"1112","req":1},{"sku":"1116","req":1}], "vencimiento":1, "precio":5700, "tipo":"cocina"},</v>
      </c>
    </row>
    <row r="992" customFormat="false" ht="13" hidden="false" customHeight="false" outlineLevel="0" collapsed="false">
      <c r="A992" s="16" t="n">
        <v>14</v>
      </c>
      <c r="B992" s="0" t="n">
        <f aca="false">IFERROR(__xludf.dummyfunction("""COMPUTED_VALUE"""),10014)</f>
        <v>10014</v>
      </c>
      <c r="C992" s="24" t="n">
        <f aca="false">IFERROR(__xludf.dummyfunction("""COMPUTED_VALUE"""),10)</f>
        <v>10</v>
      </c>
      <c r="D992" s="0" t="n">
        <f aca="false">IFERROR(__xludf.dummyfunction("""COMPUTED_VALUE"""),1)</f>
        <v>1</v>
      </c>
      <c r="E992" s="0" t="n">
        <f aca="false">IFERROR(__xludf.dummyfunction("""COMPUTED_VALUE"""),10)</f>
        <v>10</v>
      </c>
      <c r="F992" s="0" t="str">
        <f aca="false">IFERROR(__xludf.dummyfunction("filter(Formulas!$C:$C,Formulas!$A:$A=B992)"),"""formula"":[{""sku"":""1201"",""req"":1},{""sku"":""1105"",""req"":1},{""sku"":""1110"",""req"":1},{""sku"":""1112"",""req"":1},{""sku"":""1116"",""req"":1}]")</f>
        <v>"formula":[{"sku":"1201","req":1},{"sku":"1105","req":1},{"sku":"1110","req":1},{"sku":"1112","req":1},{"sku":"1116","req":1}]</v>
      </c>
      <c r="G992" s="0" t="n">
        <f aca="false">IFERROR(__xludf.dummyfunction("""COMPUTED_VALUE"""),1)</f>
        <v>1</v>
      </c>
      <c r="H992" s="21" t="str">
        <f aca="false">IFERROR(__xludf.dummyfunction("IF(D992,filter(Productos!AC:AC,Productos!A:A=B992),)"),"cocina")</f>
        <v>cocina</v>
      </c>
      <c r="I992" s="24" t="n">
        <f aca="false">IFERROR(__xludf.dummyfunction("""COMPUTED_VALUE"""),4900)</f>
        <v>4900</v>
      </c>
      <c r="K992" s="0" t="str">
        <f aca="false">IF(D992,"{""sku"":"""&amp;B992&amp;""", ""costo"":"&amp;C992&amp;", ""grupo"":"""&amp;A992&amp;""", ""lote"":"&amp;D992&amp;", ""tiempo"":"&amp;E992&amp;", "&amp;F992&amp;", ""vencimiento"":"&amp;G992&amp;IF(I992,", ""precio"":"&amp;I992,)&amp;", ""tipo"":"""&amp;H992&amp;"""},",)</f>
        <v>{"sku":"10014", "costo":10, "grupo":"14", "lote":1, "tiempo":10, "formula":[{"sku":"1201","req":1},{"sku":"1105","req":1},{"sku":"1110","req":1},{"sku":"1112","req":1},{"sku":"1116","req":1}], "vencimiento":1, "precio":4900, "tipo":"cocina"},</v>
      </c>
    </row>
    <row r="993" customFormat="false" ht="13" hidden="false" customHeight="false" outlineLevel="0" collapsed="false">
      <c r="A993" s="17" t="n">
        <v>14</v>
      </c>
      <c r="B993" s="0" t="n">
        <f aca="false">IFERROR(__xludf.dummyfunction("""COMPUTED_VALUE"""),10015)</f>
        <v>10015</v>
      </c>
      <c r="C993" s="24" t="n">
        <f aca="false">IFERROR(__xludf.dummyfunction("""COMPUTED_VALUE"""),10)</f>
        <v>10</v>
      </c>
      <c r="D993" s="0" t="n">
        <f aca="false">IFERROR(__xludf.dummyfunction("""COMPUTED_VALUE"""),1)</f>
        <v>1</v>
      </c>
      <c r="E993" s="0" t="n">
        <f aca="false">IFERROR(__xludf.dummyfunction("""COMPUTED_VALUE"""),20)</f>
        <v>20</v>
      </c>
      <c r="F993" s="0" t="str">
        <f aca="false">IFERROR(__xludf.dummyfunction("filter(Formulas!$C:$C,Formulas!$A:$A=B993)"),"""formula"":[{""sku"":""1201"",""req"":1},{""sku"":""1109"",""req"":1},{""sku"":""1115"",""req"":1},{""sku"":""1110"",""req"":1},{""sku"":""1112"",""req"":1},{""sku"":""1116"",""req"":1}]")</f>
        <v>"formula":[{"sku":"1201","req":1},{"sku":"1109","req":1},{"sku":"1115","req":1},{"sku":"1110","req":1},{"sku":"1112","req":1},{"sku":"1116","req":1}]</v>
      </c>
      <c r="G993" s="0" t="n">
        <f aca="false">IFERROR(__xludf.dummyfunction("""COMPUTED_VALUE"""),1)</f>
        <v>1</v>
      </c>
      <c r="H993" s="21" t="str">
        <f aca="false">IFERROR(__xludf.dummyfunction("IF(D993,filter(Productos!AC:AC,Productos!A:A=B993),)"),"cocina")</f>
        <v>cocina</v>
      </c>
      <c r="I993" s="24" t="n">
        <f aca="false">IFERROR(__xludf.dummyfunction("""COMPUTED_VALUE"""),5700)</f>
        <v>5700</v>
      </c>
      <c r="K993" s="0" t="str">
        <f aca="false">IF(D993,"{""sku"":"""&amp;B993&amp;""", ""costo"":"&amp;C993&amp;", ""grupo"":"""&amp;A993&amp;""", ""lote"":"&amp;D993&amp;", ""tiempo"":"&amp;E993&amp;", "&amp;F993&amp;", ""vencimiento"":"&amp;G993&amp;IF(I993,", ""precio"":"&amp;I993,)&amp;", ""tipo"":"""&amp;H993&amp;"""},",)</f>
        <v>{"sku":"10015", "costo":10, "grupo":"14", "lote":1, "tiempo":20, "formula":[{"sku":"1201","req":1},{"sku":"1109","req":1},{"sku":"1115","req":1},{"sku":"1110","req":1},{"sku":"1112","req":1},{"sku":"1116","req":1}], "vencimiento":1, "precio":5700, "tipo":"cocina"},</v>
      </c>
    </row>
    <row r="994" customFormat="false" ht="13" hidden="false" customHeight="false" outlineLevel="0" collapsed="false">
      <c r="A994" s="16" t="n">
        <v>14</v>
      </c>
      <c r="B994" s="0" t="n">
        <f aca="false">IFERROR(__xludf.dummyfunction("""COMPUTED_VALUE"""),10016)</f>
        <v>10016</v>
      </c>
      <c r="C994" s="24" t="n">
        <f aca="false">IFERROR(__xludf.dummyfunction("""COMPUTED_VALUE"""),10)</f>
        <v>10</v>
      </c>
      <c r="D994" s="0" t="n">
        <f aca="false">IFERROR(__xludf.dummyfunction("""COMPUTED_VALUE"""),1)</f>
        <v>1</v>
      </c>
      <c r="E994" s="0" t="n">
        <f aca="false">IFERROR(__xludf.dummyfunction("""COMPUTED_VALUE"""),20)</f>
        <v>20</v>
      </c>
      <c r="F994" s="0" t="str">
        <f aca="false">IFERROR(__xludf.dummyfunction("filter(Formulas!$C:$C,Formulas!$A:$A=B994)"),"""formula"":[{""sku"":""1201"",""req"":1},{""sku"":""1106"",""req"":4},{""sku"":""1110"",""req"":1},{""sku"":""1112"",""req"":1},{""sku"":""1107"",""req"":1},{""sku"":""1116"",""req"":1}]")</f>
        <v>"formula":[{"sku":"1201","req":1},{"sku":"1106","req":4},{"sku":"1110","req":1},{"sku":"1112","req":1},{"sku":"1107","req":1},{"sku":"1116","req":1}]</v>
      </c>
      <c r="G994" s="0" t="n">
        <f aca="false">IFERROR(__xludf.dummyfunction("""COMPUTED_VALUE"""),1)</f>
        <v>1</v>
      </c>
      <c r="H994" s="21" t="str">
        <f aca="false">IFERROR(__xludf.dummyfunction("IF(D994,filter(Productos!AC:AC,Productos!A:A=B994),)"),"cocina")</f>
        <v>cocina</v>
      </c>
      <c r="I994" s="24" t="n">
        <f aca="false">IFERROR(__xludf.dummyfunction("""COMPUTED_VALUE"""),5700)</f>
        <v>5700</v>
      </c>
      <c r="K994" s="0" t="str">
        <f aca="false">IF(D994,"{""sku"":"""&amp;B994&amp;""", ""costo"":"&amp;C994&amp;", ""grupo"":"""&amp;A994&amp;""", ""lote"":"&amp;D994&amp;", ""tiempo"":"&amp;E994&amp;", "&amp;F994&amp;", ""vencimiento"":"&amp;G994&amp;IF(I994,", ""precio"":"&amp;I994,)&amp;", ""tipo"":"""&amp;H994&amp;"""},",)</f>
        <v>{"sku":"10016", "costo":10, "grupo":"14", "lote":1, "tiempo":20, "formula":[{"sku":"1201","req":1},{"sku":"1106","req":4},{"sku":"1110","req":1},{"sku":"1112","req":1},{"sku":"1107","req":1},{"sku":"1116","req":1}], "vencimiento":1, "precio":5700, "tipo":"cocina"},</v>
      </c>
    </row>
    <row r="995" customFormat="false" ht="13" hidden="false" customHeight="false" outlineLevel="0" collapsed="false">
      <c r="A995" s="17" t="n">
        <v>14</v>
      </c>
      <c r="B995" s="0" t="n">
        <f aca="false">IFERROR(__xludf.dummyfunction("""COMPUTED_VALUE"""),10017)</f>
        <v>10017</v>
      </c>
      <c r="C995" s="24" t="n">
        <f aca="false">IFERROR(__xludf.dummyfunction("""COMPUTED_VALUE"""),10)</f>
        <v>10</v>
      </c>
      <c r="D995" s="0" t="n">
        <f aca="false">IFERROR(__xludf.dummyfunction("""COMPUTED_VALUE"""),1)</f>
        <v>1</v>
      </c>
      <c r="E995" s="0" t="n">
        <f aca="false">IFERROR(__xludf.dummyfunction("""COMPUTED_VALUE"""),10)</f>
        <v>10</v>
      </c>
      <c r="F995" s="0" t="str">
        <f aca="false">IFERROR(__xludf.dummyfunction("filter(Formulas!$C:$C,Formulas!$A:$A=B995)"),"""formula"":[{""sku"":""1201"",""req"":1},{""sku"":""1110"",""req"":1},{""sku"":""1112"",""req"":1},{""sku"":""1107"",""req"":1},{""sku"":""1116"",""req"":1}]")</f>
        <v>"formula":[{"sku":"1201","req":1},{"sku":"1110","req":1},{"sku":"1112","req":1},{"sku":"1107","req":1},{"sku":"1116","req":1}]</v>
      </c>
      <c r="G995" s="0" t="n">
        <f aca="false">IFERROR(__xludf.dummyfunction("""COMPUTED_VALUE"""),1)</f>
        <v>1</v>
      </c>
      <c r="H995" s="21" t="str">
        <f aca="false">IFERROR(__xludf.dummyfunction("IF(D995,filter(Productos!AC:AC,Productos!A:A=B995),)"),"cocina")</f>
        <v>cocina</v>
      </c>
      <c r="I995" s="24" t="n">
        <f aca="false">IFERROR(__xludf.dummyfunction("""COMPUTED_VALUE"""),5700)</f>
        <v>5700</v>
      </c>
      <c r="K995" s="0" t="str">
        <f aca="false">IF(D995,"{""sku"":"""&amp;B995&amp;""", ""costo"":"&amp;C995&amp;", ""grupo"":"""&amp;A995&amp;""", ""lote"":"&amp;D995&amp;", ""tiempo"":"&amp;E995&amp;", "&amp;F995&amp;", ""vencimiento"":"&amp;G995&amp;IF(I995,", ""precio"":"&amp;I995,)&amp;", ""tipo"":"""&amp;H995&amp;"""},",)</f>
        <v>{"sku":"10017", "costo":10, "grupo":"14", "lote":1, "tiempo":10, "formula":[{"sku":"1201","req":1},{"sku":"1110","req":1},{"sku":"1112","req":1},{"sku":"1107","req":1},{"sku":"1116","req":1}], "vencimiento":1, "precio":5700, "tipo":"cocina"},</v>
      </c>
    </row>
    <row r="996" customFormat="false" ht="13" hidden="false" customHeight="false" outlineLevel="0" collapsed="false">
      <c r="A996" s="16" t="n">
        <v>14</v>
      </c>
      <c r="B996" s="0" t="n">
        <f aca="false">IFERROR(__xludf.dummyfunction("""COMPUTED_VALUE"""),10018)</f>
        <v>10018</v>
      </c>
      <c r="C996" s="24" t="n">
        <f aca="false">IFERROR(__xludf.dummyfunction("""COMPUTED_VALUE"""),10)</f>
        <v>10</v>
      </c>
      <c r="D996" s="0" t="n">
        <f aca="false">IFERROR(__xludf.dummyfunction("""COMPUTED_VALUE"""),1)</f>
        <v>1</v>
      </c>
      <c r="E996" s="0" t="n">
        <f aca="false">IFERROR(__xludf.dummyfunction("""COMPUTED_VALUE"""),10)</f>
        <v>10</v>
      </c>
      <c r="F996" s="0" t="str">
        <f aca="false">IFERROR(__xludf.dummyfunction("filter(Formulas!$C:$C,Formulas!$A:$A=B996)"),"""formula"":[{""sku"":""1201"",""req"":1},{""sku"":""1105"",""req"":1},{""sku"":""1112"",""req"":1},{""sku"":""1407"",""req"":1},{""sku"":""1116"",""req"":1}]")</f>
        <v>"formula":[{"sku":"1201","req":1},{"sku":"1105","req":1},{"sku":"1112","req":1},{"sku":"1407","req":1},{"sku":"1116","req":1}]</v>
      </c>
      <c r="G996" s="0" t="n">
        <f aca="false">IFERROR(__xludf.dummyfunction("""COMPUTED_VALUE"""),1)</f>
        <v>1</v>
      </c>
      <c r="H996" s="21" t="str">
        <f aca="false">IFERROR(__xludf.dummyfunction("IF(D996,filter(Productos!AC:AC,Productos!A:A=B996),)"),"cocina")</f>
        <v>cocina</v>
      </c>
      <c r="I996" s="24" t="n">
        <f aca="false">IFERROR(__xludf.dummyfunction("""COMPUTED_VALUE"""),5700)</f>
        <v>5700</v>
      </c>
      <c r="K996" s="0" t="str">
        <f aca="false">IF(D996,"{""sku"":"""&amp;B996&amp;""", ""costo"":"&amp;C996&amp;", ""grupo"":"""&amp;A996&amp;""", ""lote"":"&amp;D996&amp;", ""tiempo"":"&amp;E996&amp;", "&amp;F996&amp;", ""vencimiento"":"&amp;G996&amp;IF(I996,", ""precio"":"&amp;I996,)&amp;", ""tipo"":"""&amp;H996&amp;"""},",)</f>
        <v>{"sku":"10018", "costo":10, "grupo":"14", "lote":1, "tiempo":10, "formula":[{"sku":"1201","req":1},{"sku":"1105","req":1},{"sku":"1112","req":1},{"sku":"1407","req":1},{"sku":"1116","req":1}], "vencimiento":1, "precio":5700, "tipo":"cocina"},</v>
      </c>
    </row>
    <row r="997" customFormat="false" ht="13" hidden="false" customHeight="false" outlineLevel="0" collapsed="false">
      <c r="A997" s="17" t="n">
        <v>14</v>
      </c>
      <c r="B997" s="0" t="n">
        <f aca="false">IFERROR(__xludf.dummyfunction("""COMPUTED_VALUE"""),10019)</f>
        <v>10019</v>
      </c>
      <c r="C997" s="24" t="n">
        <f aca="false">IFERROR(__xludf.dummyfunction("""COMPUTED_VALUE"""),10)</f>
        <v>10</v>
      </c>
      <c r="D997" s="0" t="n">
        <f aca="false">IFERROR(__xludf.dummyfunction("""COMPUTED_VALUE"""),1)</f>
        <v>1</v>
      </c>
      <c r="E997" s="0" t="n">
        <f aca="false">IFERROR(__xludf.dummyfunction("""COMPUTED_VALUE"""),10)</f>
        <v>10</v>
      </c>
      <c r="F997" s="0" t="str">
        <f aca="false">IFERROR(__xludf.dummyfunction("filter(Formulas!$C:$C,Formulas!$A:$A=B997)"),"""formula"":[{""sku"":""1201"",""req"":1},{""sku"":""1106"",""req"":4},{""sku"":""1210"",""req"":1},{""sku"":""1116"",""req"":1},{""sku"":""1407"",""req"":1}]")</f>
        <v>"formula":[{"sku":"1201","req":1},{"sku":"1106","req":4},{"sku":"1210","req":1},{"sku":"1116","req":1},{"sku":"1407","req":1}]</v>
      </c>
      <c r="G997" s="0" t="n">
        <f aca="false">IFERROR(__xludf.dummyfunction("""COMPUTED_VALUE"""),1)</f>
        <v>1</v>
      </c>
      <c r="H997" s="21" t="str">
        <f aca="false">IFERROR(__xludf.dummyfunction("IF(D997,filter(Productos!AC:AC,Productos!A:A=B997),)"),"cocina")</f>
        <v>cocina</v>
      </c>
      <c r="I997" s="24" t="n">
        <f aca="false">IFERROR(__xludf.dummyfunction("""COMPUTED_VALUE"""),5700)</f>
        <v>5700</v>
      </c>
      <c r="K997" s="0" t="str">
        <f aca="false">IF(D997,"{""sku"":"""&amp;B997&amp;""", ""costo"":"&amp;C997&amp;", ""grupo"":"""&amp;A997&amp;""", ""lote"":"&amp;D997&amp;", ""tiempo"":"&amp;E997&amp;", "&amp;F997&amp;", ""vencimiento"":"&amp;G997&amp;IF(I997,", ""precio"":"&amp;I997,)&amp;", ""tipo"":"""&amp;H997&amp;"""},",)</f>
        <v>{"sku":"10019", "costo":10, "grupo":"14", "lote":1, "tiempo":10, "formula":[{"sku":"1201","req":1},{"sku":"1106","req":4},{"sku":"1210","req":1},{"sku":"1116","req":1},{"sku":"1407","req":1}], "vencimiento":1, "precio":5700, "tipo":"cocina"},</v>
      </c>
    </row>
    <row r="998" customFormat="false" ht="13" hidden="false" customHeight="false" outlineLevel="0" collapsed="false">
      <c r="A998" s="16" t="n">
        <v>14</v>
      </c>
      <c r="B998" s="0" t="n">
        <f aca="false">IFERROR(__xludf.dummyfunction("""COMPUTED_VALUE"""),10020)</f>
        <v>10020</v>
      </c>
      <c r="C998" s="24" t="n">
        <f aca="false">IFERROR(__xludf.dummyfunction("""COMPUTED_VALUE"""),10)</f>
        <v>10</v>
      </c>
      <c r="D998" s="0" t="n">
        <f aca="false">IFERROR(__xludf.dummyfunction("""COMPUTED_VALUE"""),1)</f>
        <v>1</v>
      </c>
      <c r="E998" s="0" t="n">
        <f aca="false">IFERROR(__xludf.dummyfunction("""COMPUTED_VALUE"""),20)</f>
        <v>20</v>
      </c>
      <c r="F998" s="0" t="str">
        <f aca="false">IFERROR(__xludf.dummyfunction("filter(Formulas!$C:$C,Formulas!$A:$A=B998)"),"""formula"":[{""sku"":""1201"",""req"":1},{""sku"":""1116"",""req"":1},{""sku"":""1106"",""req"":4},{""sku"":""1112"",""req"":1},{""sku"":""1114"",""req"":1},{""sku"":""1407"",""req"":1}]")</f>
        <v>"formula":[{"sku":"1201","req":1},{"sku":"1116","req":1},{"sku":"1106","req":4},{"sku":"1112","req":1},{"sku":"1114","req":1},{"sku":"1407","req":1}]</v>
      </c>
      <c r="G998" s="0" t="n">
        <f aca="false">IFERROR(__xludf.dummyfunction("""COMPUTED_VALUE"""),1)</f>
        <v>1</v>
      </c>
      <c r="H998" s="21" t="str">
        <f aca="false">IFERROR(__xludf.dummyfunction("IF(D998,filter(Productos!AC:AC,Productos!A:A=B998),)"),"cocina")</f>
        <v>cocina</v>
      </c>
      <c r="I998" s="24" t="n">
        <f aca="false">IFERROR(__xludf.dummyfunction("""COMPUTED_VALUE"""),5900)</f>
        <v>5900</v>
      </c>
      <c r="K998" s="0" t="str">
        <f aca="false">IF(D998,"{""sku"":"""&amp;B998&amp;""", ""costo"":"&amp;C998&amp;", ""grupo"":"""&amp;A998&amp;""", ""lote"":"&amp;D998&amp;", ""tiempo"":"&amp;E998&amp;", "&amp;F998&amp;", ""vencimiento"":"&amp;G998&amp;IF(I998,", ""precio"":"&amp;I998,)&amp;", ""tipo"":"""&amp;H998&amp;"""},",)</f>
        <v>{"sku":"10020", "costo":10, "grupo":"14", "lote":1, "tiempo":20, "formula":[{"sku":"1201","req":1},{"sku":"1116","req":1},{"sku":"1106","req":4},{"sku":"1112","req":1},{"sku":"1114","req":1},{"sku":"1407","req":1}], "vencimiento":1, "precio":5900, "tipo":"cocina"},</v>
      </c>
    </row>
    <row r="999" customFormat="false" ht="13" hidden="false" customHeight="false" outlineLevel="0" collapsed="false">
      <c r="A999" s="17" t="n">
        <v>14</v>
      </c>
      <c r="B999" s="0" t="n">
        <f aca="false">IFERROR(__xludf.dummyfunction("""COMPUTED_VALUE"""),10021)</f>
        <v>10021</v>
      </c>
      <c r="C999" s="24" t="n">
        <f aca="false">IFERROR(__xludf.dummyfunction("""COMPUTED_VALUE"""),10)</f>
        <v>10</v>
      </c>
      <c r="D999" s="0" t="n">
        <f aca="false">IFERROR(__xludf.dummyfunction("""COMPUTED_VALUE"""),1)</f>
        <v>1</v>
      </c>
      <c r="E999" s="0" t="n">
        <f aca="false">IFERROR(__xludf.dummyfunction("""COMPUTED_VALUE"""),10)</f>
        <v>10</v>
      </c>
      <c r="F999" s="0" t="str">
        <f aca="false">IFERROR(__xludf.dummyfunction("filter(Formulas!$C:$C,Formulas!$A:$A=B999)"),"""formula"":[{""sku"":""1201"",""req"":1},{""sku"":""1116"",""req"":1},{""sku"":""1109"",""req"":1},{""sku"":""1114"",""req"":1},{""sku"":""1407"",""req"":1}]")</f>
        <v>"formula":[{"sku":"1201","req":1},{"sku":"1116","req":1},{"sku":"1109","req":1},{"sku":"1114","req":1},{"sku":"1407","req":1}]</v>
      </c>
      <c r="G999" s="0" t="n">
        <f aca="false">IFERROR(__xludf.dummyfunction("""COMPUTED_VALUE"""),1)</f>
        <v>1</v>
      </c>
      <c r="H999" s="21" t="str">
        <f aca="false">IFERROR(__xludf.dummyfunction("IF(D999,filter(Productos!AC:AC,Productos!A:A=B999),)"),"cocina")</f>
        <v>cocina</v>
      </c>
      <c r="I999" s="24" t="n">
        <f aca="false">IFERROR(__xludf.dummyfunction("""COMPUTED_VALUE"""),5900)</f>
        <v>5900</v>
      </c>
      <c r="K999" s="0" t="str">
        <f aca="false">IF(D999,"{""sku"":"""&amp;B999&amp;""", ""costo"":"&amp;C999&amp;", ""grupo"":"""&amp;A999&amp;""", ""lote"":"&amp;D999&amp;", ""tiempo"":"&amp;E999&amp;", "&amp;F999&amp;", ""vencimiento"":"&amp;G999&amp;IF(I999,", ""precio"":"&amp;I999,)&amp;", ""tipo"":"""&amp;H999&amp;"""},",)</f>
        <v>{"sku":"10021", "costo":10, "grupo":"14", "lote":1, "tiempo":10, "formula":[{"sku":"1201","req":1},{"sku":"1116","req":1},{"sku":"1109","req":1},{"sku":"1114","req":1},{"sku":"1407","req":1}], "vencimiento":1, "precio":5900, "tipo":"cocina"},</v>
      </c>
    </row>
    <row r="1000" customFormat="false" ht="13" hidden="false" customHeight="false" outlineLevel="0" collapsed="false">
      <c r="A1000" s="16" t="n">
        <v>14</v>
      </c>
      <c r="B1000" s="0" t="n">
        <f aca="false">IFERROR(__xludf.dummyfunction("""COMPUTED_VALUE"""),10022)</f>
        <v>10022</v>
      </c>
      <c r="C1000" s="24" t="n">
        <f aca="false">IFERROR(__xludf.dummyfunction("""COMPUTED_VALUE"""),10)</f>
        <v>10</v>
      </c>
      <c r="D1000" s="0" t="n">
        <f aca="false">IFERROR(__xludf.dummyfunction("""COMPUTED_VALUE"""),1)</f>
        <v>1</v>
      </c>
      <c r="E1000" s="0" t="n">
        <f aca="false">IFERROR(__xludf.dummyfunction("""COMPUTED_VALUE"""),20)</f>
        <v>20</v>
      </c>
      <c r="F1000" s="0" t="str">
        <f aca="false">IFERROR(__xludf.dummyfunction("filter(Formulas!$C:$C,Formulas!$A:$A=B1000)"),"""formula"":[{""sku"":""1201"",""req"":1},{""sku"":""1116"",""req"":1},{""sku"":""1107"",""req"":1},{""sku"":""1112"",""req"":1},{""sku"":""1210"",""req"":1},{""sku"":""1215"",""req"":1}]")</f>
        <v>"formula":[{"sku":"1201","req":1},{"sku":"1116","req":1},{"sku":"1107","req":1},{"sku":"1112","req":1},{"sku":"1210","req":1},{"sku":"1215","req":1}]</v>
      </c>
      <c r="G1000" s="0" t="n">
        <f aca="false">IFERROR(__xludf.dummyfunction("""COMPUTED_VALUE"""),1)</f>
        <v>1</v>
      </c>
      <c r="H1000" s="21" t="str">
        <f aca="false">IFERROR(__xludf.dummyfunction("IF(D1000,filter(Productos!AC:AC,Productos!A:A=B1000),)"),"cocina")</f>
        <v>cocina</v>
      </c>
      <c r="I1000" s="24" t="n">
        <f aca="false">IFERROR(__xludf.dummyfunction("""COMPUTED_VALUE"""),5500)</f>
        <v>5500</v>
      </c>
      <c r="K1000" s="0" t="str">
        <f aca="false">IF(D1000,"{""sku"":"""&amp;B1000&amp;""", ""costo"":"&amp;C1000&amp;", ""grupo"":"""&amp;A1000&amp;""", ""lote"":"&amp;D1000&amp;", ""tiempo"":"&amp;E1000&amp;", "&amp;F1000&amp;", ""vencimiento"":"&amp;G1000&amp;IF(I1000,", ""precio"":"&amp;I1000,)&amp;", ""tipo"":"""&amp;H1000&amp;"""},",)</f>
        <v>{"sku":"10022", "costo":10, "grupo":"14", "lote":1, "tiempo":20, "formula":[{"sku":"1201","req":1},{"sku":"1116","req":1},{"sku":"1107","req":1},{"sku":"1112","req":1},{"sku":"1210","req":1},{"sku":"1215","req":1}], "vencimiento":1, "precio":5500, "tipo":"cocina"},</v>
      </c>
    </row>
    <row r="1001" customFormat="false" ht="13" hidden="false" customHeight="false" outlineLevel="0" collapsed="false">
      <c r="A1001" s="17" t="n">
        <v>14</v>
      </c>
      <c r="B1001" s="0" t="n">
        <f aca="false">IFERROR(__xludf.dummyfunction("""COMPUTED_VALUE"""),10023)</f>
        <v>10023</v>
      </c>
      <c r="C1001" s="24" t="n">
        <f aca="false">IFERROR(__xludf.dummyfunction("""COMPUTED_VALUE"""),10)</f>
        <v>10</v>
      </c>
      <c r="D1001" s="0" t="n">
        <f aca="false">IFERROR(__xludf.dummyfunction("""COMPUTED_VALUE"""),1)</f>
        <v>1</v>
      </c>
      <c r="E1001" s="0" t="n">
        <f aca="false">IFERROR(__xludf.dummyfunction("""COMPUTED_VALUE"""),20)</f>
        <v>20</v>
      </c>
      <c r="F1001" s="0" t="str">
        <f aca="false">IFERROR(__xludf.dummyfunction("filter(Formulas!$C:$C,Formulas!$A:$A=B1001)"),"""formula"":[{""sku"":""1201"",""req"":1},{""sku"":""1116"",""req"":1},{""sku"":""1109"",""req"":1},{""sku"":""1112"",""req"":1},{""sku"":""1210"",""req"":1},{""sku"":""1215"",""req"":1}]")</f>
        <v>"formula":[{"sku":"1201","req":1},{"sku":"1116","req":1},{"sku":"1109","req":1},{"sku":"1112","req":1},{"sku":"1210","req":1},{"sku":"1215","req":1}]</v>
      </c>
      <c r="G1001" s="0" t="n">
        <f aca="false">IFERROR(__xludf.dummyfunction("""COMPUTED_VALUE"""),1)</f>
        <v>1</v>
      </c>
      <c r="H1001" s="21" t="str">
        <f aca="false">IFERROR(__xludf.dummyfunction("IF(D1001,filter(Productos!AC:AC,Productos!A:A=B1001),)"),"cocina")</f>
        <v>cocina</v>
      </c>
      <c r="I1001" s="24" t="n">
        <f aca="false">IFERROR(__xludf.dummyfunction("""COMPUTED_VALUE"""),5500)</f>
        <v>5500</v>
      </c>
      <c r="K1001" s="0" t="str">
        <f aca="false">IF(D1001,"{""sku"":"""&amp;B1001&amp;""", ""costo"":"&amp;C1001&amp;", ""grupo"":"""&amp;A1001&amp;""", ""lote"":"&amp;D1001&amp;", ""tiempo"":"&amp;E1001&amp;", "&amp;F1001&amp;", ""vencimiento"":"&amp;G1001&amp;IF(I1001,", ""precio"":"&amp;I1001,)&amp;", ""tipo"":"""&amp;H1001&amp;"""},",)</f>
        <v>{"sku":"10023", "costo":10, "grupo":"14", "lote":1, "tiempo":20, "formula":[{"sku":"1201","req":1},{"sku":"1116","req":1},{"sku":"1109","req":1},{"sku":"1112","req":1},{"sku":"1210","req":1},{"sku":"1215","req":1}], "vencimiento":1, "precio":5500, "tipo":"cocina"},</v>
      </c>
    </row>
    <row r="1002" customFormat="false" ht="13" hidden="false" customHeight="false" outlineLevel="0" collapsed="false">
      <c r="A1002" s="16" t="n">
        <v>14</v>
      </c>
      <c r="B1002" s="0" t="n">
        <f aca="false">IFERROR(__xludf.dummyfunction("""COMPUTED_VALUE"""),10024)</f>
        <v>10024</v>
      </c>
      <c r="C1002" s="24" t="n">
        <f aca="false">IFERROR(__xludf.dummyfunction("""COMPUTED_VALUE"""),10)</f>
        <v>10</v>
      </c>
      <c r="D1002" s="0" t="n">
        <f aca="false">IFERROR(__xludf.dummyfunction("""COMPUTED_VALUE"""),1)</f>
        <v>1</v>
      </c>
      <c r="E1002" s="0" t="n">
        <f aca="false">IFERROR(__xludf.dummyfunction("""COMPUTED_VALUE"""),20)</f>
        <v>20</v>
      </c>
      <c r="F1002" s="0" t="str">
        <f aca="false">IFERROR(__xludf.dummyfunction("filter(Formulas!$C:$C,Formulas!$A:$A=B1002)"),"""formula"":[{""sku"":""1201"",""req"":1},{""sku"":""1116"",""req"":1},{""sku"":""1210"",""req"":1},{""sku"":""1114"",""req"":1},{""sku"":""1115"",""req"":1},{""sku"":""1211"",""req"":1}]")</f>
        <v>"formula":[{"sku":"1201","req":1},{"sku":"1116","req":1},{"sku":"1210","req":1},{"sku":"1114","req":1},{"sku":"1115","req":1},{"sku":"1211","req":1}]</v>
      </c>
      <c r="G1002" s="0" t="n">
        <f aca="false">IFERROR(__xludf.dummyfunction("""COMPUTED_VALUE"""),1)</f>
        <v>1</v>
      </c>
      <c r="H1002" s="21" t="str">
        <f aca="false">IFERROR(__xludf.dummyfunction("IF(D1002,filter(Productos!AC:AC,Productos!A:A=B1002),)"),"cocina")</f>
        <v>cocina</v>
      </c>
      <c r="I1002" s="24" t="n">
        <f aca="false">IFERROR(__xludf.dummyfunction("""COMPUTED_VALUE"""),4900)</f>
        <v>4900</v>
      </c>
      <c r="K1002" s="0" t="str">
        <f aca="false">IF(D1002,"{""sku"":"""&amp;B1002&amp;""", ""costo"":"&amp;C1002&amp;", ""grupo"":"""&amp;A1002&amp;""", ""lote"":"&amp;D1002&amp;", ""tiempo"":"&amp;E1002&amp;", "&amp;F1002&amp;", ""vencimiento"":"&amp;G1002&amp;IF(I1002,", ""precio"":"&amp;I1002,)&amp;", ""tipo"":"""&amp;H1002&amp;"""},",)</f>
        <v>{"sku":"10024", "costo":10, "grupo":"14", "lote":1, "tiempo":20, "formula":[{"sku":"1201","req":1},{"sku":"1116","req":1},{"sku":"1210","req":1},{"sku":"1114","req":1},{"sku":"1115","req":1},{"sku":"1211","req":1}], "vencimiento":1, "precio":4900, "tipo":"cocina"},</v>
      </c>
    </row>
    <row r="1003" customFormat="false" ht="13" hidden="false" customHeight="false" outlineLevel="0" collapsed="false">
      <c r="A1003" s="17" t="n">
        <v>14</v>
      </c>
      <c r="B1003" s="0" t="n">
        <f aca="false">IFERROR(__xludf.dummyfunction("""COMPUTED_VALUE"""),10025)</f>
        <v>10025</v>
      </c>
      <c r="C1003" s="24" t="n">
        <f aca="false">IFERROR(__xludf.dummyfunction("""COMPUTED_VALUE"""),10)</f>
        <v>10</v>
      </c>
      <c r="D1003" s="0" t="n">
        <f aca="false">IFERROR(__xludf.dummyfunction("""COMPUTED_VALUE"""),1)</f>
        <v>1</v>
      </c>
      <c r="E1003" s="0" t="n">
        <f aca="false">IFERROR(__xludf.dummyfunction("""COMPUTED_VALUE"""),20)</f>
        <v>20</v>
      </c>
      <c r="F1003" s="0" t="str">
        <f aca="false">IFERROR(__xludf.dummyfunction("filter(Formulas!$C:$C,Formulas!$A:$A=B1003)"),"""formula"":[{""sku"":""1201"",""req"":1},{""sku"":""1116"",""req"":1},{""sku"":""1210"",""req"":1},{""sku"":""1114"",""req"":1},{""sku"":""1115"",""req"":1},{""sku"":""1013"",""req"":5}]")</f>
        <v>"formula":[{"sku":"1201","req":1},{"sku":"1116","req":1},{"sku":"1210","req":1},{"sku":"1114","req":1},{"sku":"1115","req":1},{"sku":"1013","req":5}]</v>
      </c>
      <c r="G1003" s="0" t="n">
        <f aca="false">IFERROR(__xludf.dummyfunction("""COMPUTED_VALUE"""),1)</f>
        <v>1</v>
      </c>
      <c r="H1003" s="21" t="str">
        <f aca="false">IFERROR(__xludf.dummyfunction("IF(D1003,filter(Productos!AC:AC,Productos!A:A=B1003),)"),"cocina")</f>
        <v>cocina</v>
      </c>
      <c r="I1003" s="24" t="n">
        <f aca="false">IFERROR(__xludf.dummyfunction("""COMPUTED_VALUE"""),4900)</f>
        <v>4900</v>
      </c>
      <c r="K1003" s="0" t="str">
        <f aca="false">IF(D1003,"{""sku"":"""&amp;B1003&amp;""", ""costo"":"&amp;C1003&amp;", ""grupo"":"""&amp;A1003&amp;""", ""lote"":"&amp;D1003&amp;", ""tiempo"":"&amp;E1003&amp;", "&amp;F1003&amp;", ""vencimiento"":"&amp;G1003&amp;IF(I1003,", ""precio"":"&amp;I1003,)&amp;", ""tipo"":"""&amp;H1003&amp;"""},",)</f>
        <v>{"sku":"10025", "costo":10, "grupo":"14", "lote":1, "tiempo":20, "formula":[{"sku":"1201","req":1},{"sku":"1116","req":1},{"sku":"1210","req":1},{"sku":"1114","req":1},{"sku":"1115","req":1},{"sku":"1013","req":5}], "vencimiento":1, "precio":4900, "tipo":"cocina"},</v>
      </c>
    </row>
    <row r="1004" customFormat="false" ht="13" hidden="false" customHeight="false" outlineLevel="0" collapsed="false">
      <c r="A1004" s="16" t="n">
        <v>14</v>
      </c>
      <c r="B1004" s="0" t="n">
        <f aca="false">IFERROR(__xludf.dummyfunction("""COMPUTED_VALUE"""),20001)</f>
        <v>20001</v>
      </c>
      <c r="C1004" s="24" t="n">
        <f aca="false">IFERROR(__xludf.dummyfunction("""COMPUTED_VALUE"""),10)</f>
        <v>10</v>
      </c>
      <c r="D1004" s="0" t="n">
        <f aca="false">IFERROR(__xludf.dummyfunction("""COMPUTED_VALUE"""),1)</f>
        <v>1</v>
      </c>
      <c r="E1004" s="0" t="n">
        <f aca="false">IFERROR(__xludf.dummyfunction("""COMPUTED_VALUE"""),10)</f>
        <v>10</v>
      </c>
      <c r="F1004" s="0" t="str">
        <f aca="false">IFERROR(__xludf.dummyfunction("filter(Formulas!$C:$C,Formulas!$A:$A=B1004)"),"""formula"":[{""sku"":""1301"",""req"":1},{""sku"":""1207"",""req"":1},{""sku"":""1310"",""req"":1},{""sku"":""1112"",""req"":1},{""sku"":""1216"",""req"":1}]")</f>
        <v>"formula":[{"sku":"1301","req":1},{"sku":"1207","req":1},{"sku":"1310","req":1},{"sku":"1112","req":1},{"sku":"1216","req":1}]</v>
      </c>
      <c r="G1004" s="0" t="n">
        <f aca="false">IFERROR(__xludf.dummyfunction("""COMPUTED_VALUE"""),1)</f>
        <v>1</v>
      </c>
      <c r="H1004" s="21" t="str">
        <f aca="false">IFERROR(__xludf.dummyfunction("IF(D1004,filter(Productos!AC:AC,Productos!A:A=B1004),)"),"cocina")</f>
        <v>cocina</v>
      </c>
      <c r="I1004" s="24" t="n">
        <f aca="false">IFERROR(__xludf.dummyfunction("""COMPUTED_VALUE"""),2700)</f>
        <v>2700</v>
      </c>
      <c r="K1004" s="0" t="str">
        <f aca="false">IF(D1004,"{""sku"":"""&amp;B1004&amp;""", ""costo"":"&amp;C1004&amp;", ""grupo"":"""&amp;A1004&amp;""", ""lote"":"&amp;D1004&amp;", ""tiempo"":"&amp;E1004&amp;", "&amp;F1004&amp;", ""vencimiento"":"&amp;G1004&amp;IF(I1004,", ""precio"":"&amp;I1004,)&amp;", ""tipo"":"""&amp;H1004&amp;"""},",)</f>
        <v>{"sku":"20001", "costo":10, "grupo":"14", "lote":1, "tiempo":10, "formula":[{"sku":"1301","req":1},{"sku":"1207","req":1},{"sku":"1310","req":1},{"sku":"1112","req":1},{"sku":"1216","req":1}], "vencimiento":1, "precio":2700, "tipo":"cocina"},</v>
      </c>
    </row>
    <row r="1005" customFormat="false" ht="13" hidden="false" customHeight="false" outlineLevel="0" collapsed="false">
      <c r="A1005" s="17" t="n">
        <v>14</v>
      </c>
      <c r="B1005" s="0" t="n">
        <f aca="false">IFERROR(__xludf.dummyfunction("""COMPUTED_VALUE"""),20002)</f>
        <v>20002</v>
      </c>
      <c r="C1005" s="24" t="n">
        <f aca="false">IFERROR(__xludf.dummyfunction("""COMPUTED_VALUE"""),10)</f>
        <v>10</v>
      </c>
      <c r="D1005" s="0" t="n">
        <f aca="false">IFERROR(__xludf.dummyfunction("""COMPUTED_VALUE"""),1)</f>
        <v>1</v>
      </c>
      <c r="E1005" s="0" t="n">
        <f aca="false">IFERROR(__xludf.dummyfunction("""COMPUTED_VALUE"""),10)</f>
        <v>10</v>
      </c>
      <c r="F1005" s="0" t="str">
        <f aca="false">IFERROR(__xludf.dummyfunction("filter(Formulas!$C:$C,Formulas!$A:$A=B1005)"),"""formula"":[{""sku"":""1301"",""req"":1},{""sku"":""1216"",""req"":1},{""sku"":""1106"",""req"":4}]")</f>
        <v>"formula":[{"sku":"1301","req":1},{"sku":"1216","req":1},{"sku":"1106","req":4}]</v>
      </c>
      <c r="G1005" s="0" t="n">
        <f aca="false">IFERROR(__xludf.dummyfunction("""COMPUTED_VALUE"""),1)</f>
        <v>1</v>
      </c>
      <c r="H1005" s="21" t="str">
        <f aca="false">IFERROR(__xludf.dummyfunction("IF(D1005,filter(Productos!AC:AC,Productos!A:A=B1005),)"),"cocina")</f>
        <v>cocina</v>
      </c>
      <c r="I1005" s="24" t="n">
        <f aca="false">IFERROR(__xludf.dummyfunction("""COMPUTED_VALUE"""),2700)</f>
        <v>2700</v>
      </c>
      <c r="K1005" s="0" t="str">
        <f aca="false">IF(D1005,"{""sku"":"""&amp;B1005&amp;""", ""costo"":"&amp;C1005&amp;", ""grupo"":"""&amp;A1005&amp;""", ""lote"":"&amp;D1005&amp;", ""tiempo"":"&amp;E1005&amp;", "&amp;F1005&amp;", ""vencimiento"":"&amp;G1005&amp;IF(I1005,", ""precio"":"&amp;I1005,)&amp;", ""tipo"":"""&amp;H1005&amp;"""},",)</f>
        <v>{"sku":"20002", "costo":10, "grupo":"14", "lote":1, "tiempo":10, "formula":[{"sku":"1301","req":1},{"sku":"1216","req":1},{"sku":"1106","req":4}], "vencimiento":1, "precio":2700, "tipo":"cocina"},</v>
      </c>
    </row>
    <row r="1006" customFormat="false" ht="13" hidden="false" customHeight="false" outlineLevel="0" collapsed="false">
      <c r="A1006" s="16" t="n">
        <v>14</v>
      </c>
      <c r="B1006" s="0" t="n">
        <f aca="false">IFERROR(__xludf.dummyfunction("""COMPUTED_VALUE"""),20003)</f>
        <v>20003</v>
      </c>
      <c r="C1006" s="24" t="n">
        <f aca="false">IFERROR(__xludf.dummyfunction("""COMPUTED_VALUE"""),10)</f>
        <v>10</v>
      </c>
      <c r="D1006" s="0" t="n">
        <f aca="false">IFERROR(__xludf.dummyfunction("""COMPUTED_VALUE"""),1)</f>
        <v>1</v>
      </c>
      <c r="E1006" s="0" t="n">
        <f aca="false">IFERROR(__xludf.dummyfunction("""COMPUTED_VALUE"""),10)</f>
        <v>10</v>
      </c>
      <c r="F1006" s="0" t="str">
        <f aca="false">IFERROR(__xludf.dummyfunction("filter(Formulas!$C:$C,Formulas!$A:$A=B1006)"),"""formula"":[{""sku"":""1301"",""req"":1},{""sku"":""1216"",""req"":1},{""sku"":""1207"",""req"":1}]")</f>
        <v>"formula":[{"sku":"1301","req":1},{"sku":"1216","req":1},{"sku":"1207","req":1}]</v>
      </c>
      <c r="G1006" s="0" t="n">
        <f aca="false">IFERROR(__xludf.dummyfunction("""COMPUTED_VALUE"""),1)</f>
        <v>1</v>
      </c>
      <c r="H1006" s="21" t="str">
        <f aca="false">IFERROR(__xludf.dummyfunction("IF(D1006,filter(Productos!AC:AC,Productos!A:A=B1006),)"),"cocina")</f>
        <v>cocina</v>
      </c>
      <c r="I1006" s="24" t="n">
        <f aca="false">IFERROR(__xludf.dummyfunction("""COMPUTED_VALUE"""),2700)</f>
        <v>2700</v>
      </c>
      <c r="K1006" s="0" t="str">
        <f aca="false">IF(D1006,"{""sku"":"""&amp;B1006&amp;""", ""costo"":"&amp;C1006&amp;", ""grupo"":"""&amp;A1006&amp;""", ""lote"":"&amp;D1006&amp;", ""tiempo"":"&amp;E1006&amp;", "&amp;F1006&amp;", ""vencimiento"":"&amp;G1006&amp;IF(I1006,", ""precio"":"&amp;I1006,)&amp;", ""tipo"":"""&amp;H1006&amp;"""},",)</f>
        <v>{"sku":"20003", "costo":10, "grupo":"14", "lote":1, "tiempo":10, "formula":[{"sku":"1301","req":1},{"sku":"1216","req":1},{"sku":"1207","req":1}], "vencimiento":1, "precio":2700, "tipo":"cocina"},</v>
      </c>
    </row>
    <row r="1007" customFormat="false" ht="13" hidden="false" customHeight="false" outlineLevel="0" collapsed="false">
      <c r="A1007" s="17" t="n">
        <v>14</v>
      </c>
      <c r="B1007" s="0" t="n">
        <f aca="false">IFERROR(__xludf.dummyfunction("""COMPUTED_VALUE"""),20004)</f>
        <v>20004</v>
      </c>
      <c r="C1007" s="24" t="n">
        <f aca="false">IFERROR(__xludf.dummyfunction("""COMPUTED_VALUE"""),10)</f>
        <v>10</v>
      </c>
      <c r="D1007" s="0" t="n">
        <f aca="false">IFERROR(__xludf.dummyfunction("""COMPUTED_VALUE"""),1)</f>
        <v>1</v>
      </c>
      <c r="E1007" s="0" t="n">
        <f aca="false">IFERROR(__xludf.dummyfunction("""COMPUTED_VALUE"""),10)</f>
        <v>10</v>
      </c>
      <c r="F1007" s="0" t="str">
        <f aca="false">IFERROR(__xludf.dummyfunction("filter(Formulas!$C:$C,Formulas!$A:$A=B1007)"),"""formula"":[{""sku"":""1301"",""req"":1},{""sku"":""1216"",""req"":1},{""sku"":""1209"",""req"":1}]")</f>
        <v>"formula":[{"sku":"1301","req":1},{"sku":"1216","req":1},{"sku":"1209","req":1}]</v>
      </c>
      <c r="G1007" s="0" t="n">
        <f aca="false">IFERROR(__xludf.dummyfunction("""COMPUTED_VALUE"""),1)</f>
        <v>1</v>
      </c>
      <c r="H1007" s="21" t="str">
        <f aca="false">IFERROR(__xludf.dummyfunction("IF(D1007,filter(Productos!AC:AC,Productos!A:A=B1007),)"),"cocina")</f>
        <v>cocina</v>
      </c>
      <c r="I1007" s="24" t="n">
        <f aca="false">IFERROR(__xludf.dummyfunction("""COMPUTED_VALUE"""),2700)</f>
        <v>2700</v>
      </c>
      <c r="K1007" s="0" t="str">
        <f aca="false">IF(D1007,"{""sku"":"""&amp;B1007&amp;""", ""costo"":"&amp;C1007&amp;", ""grupo"":"""&amp;A1007&amp;""", ""lote"":"&amp;D1007&amp;", ""tiempo"":"&amp;E1007&amp;", "&amp;F1007&amp;", ""vencimiento"":"&amp;G1007&amp;IF(I1007,", ""precio"":"&amp;I1007,)&amp;", ""tipo"":"""&amp;H1007&amp;"""},",)</f>
        <v>{"sku":"20004", "costo":10, "grupo":"14", "lote":1, "tiempo":10, "formula":[{"sku":"1301","req":1},{"sku":"1216","req":1},{"sku":"1209","req":1}], "vencimiento":1, "precio":2700, "tipo":"cocina"},</v>
      </c>
    </row>
    <row r="1008" customFormat="false" ht="13" hidden="false" customHeight="false" outlineLevel="0" collapsed="false">
      <c r="A1008" s="16" t="n">
        <v>14</v>
      </c>
      <c r="B1008" s="0" t="n">
        <f aca="false">IFERROR(__xludf.dummyfunction("""COMPUTED_VALUE"""),20005)</f>
        <v>20005</v>
      </c>
      <c r="C1008" s="24" t="n">
        <f aca="false">IFERROR(__xludf.dummyfunction("""COMPUTED_VALUE"""),10)</f>
        <v>10</v>
      </c>
      <c r="D1008" s="0" t="n">
        <f aca="false">IFERROR(__xludf.dummyfunction("""COMPUTED_VALUE"""),1)</f>
        <v>1</v>
      </c>
      <c r="E1008" s="0" t="n">
        <f aca="false">IFERROR(__xludf.dummyfunction("""COMPUTED_VALUE"""),20)</f>
        <v>20</v>
      </c>
      <c r="F1008" s="0" t="str">
        <f aca="false">IFERROR(__xludf.dummyfunction("filter(Formulas!$C:$C,Formulas!$A:$A=B1008)"),"""formula"":[{""sku"":""1301"",""req"":1},{""sku"":""1216"",""req"":1},{""sku"":""1209"",""req"":1},{""sku"":""1310"",""req"":1},{""sku"":""1112"",""req"":1}]")</f>
        <v>"formula":[{"sku":"1301","req":1},{"sku":"1216","req":1},{"sku":"1209","req":1},{"sku":"1310","req":1},{"sku":"1112","req":1}]</v>
      </c>
      <c r="G1008" s="0" t="n">
        <f aca="false">IFERROR(__xludf.dummyfunction("""COMPUTED_VALUE"""),1)</f>
        <v>1</v>
      </c>
      <c r="H1008" s="21" t="str">
        <f aca="false">IFERROR(__xludf.dummyfunction("IF(D1008,filter(Productos!AC:AC,Productos!A:A=B1008),)"),"cocina")</f>
        <v>cocina</v>
      </c>
      <c r="I1008" s="24" t="n">
        <f aca="false">IFERROR(__xludf.dummyfunction("""COMPUTED_VALUE"""),2700)</f>
        <v>2700</v>
      </c>
      <c r="K1008" s="0" t="str">
        <f aca="false">IF(D1008,"{""sku"":"""&amp;B1008&amp;""", ""costo"":"&amp;C1008&amp;", ""grupo"":"""&amp;A1008&amp;""", ""lote"":"&amp;D1008&amp;", ""tiempo"":"&amp;E1008&amp;", "&amp;F1008&amp;", ""vencimiento"":"&amp;G1008&amp;IF(I1008,", ""precio"":"&amp;I1008,)&amp;", ""tipo"":"""&amp;H1008&amp;"""},",)</f>
        <v>{"sku":"20005", "costo":10, "grupo":"14", "lote":1, "tiempo":20, "formula":[{"sku":"1301","req":1},{"sku":"1216","req":1},{"sku":"1209","req":1},{"sku":"1310","req":1},{"sku":"1112","req":1}], "vencimiento":1, "precio":2700, "tipo":"cocina"},</v>
      </c>
    </row>
    <row r="1009" customFormat="false" ht="13" hidden="false" customHeight="false" outlineLevel="0" collapsed="false">
      <c r="A1009" s="17" t="n">
        <v>14</v>
      </c>
      <c r="B1009" s="0" t="n">
        <f aca="false">IFERROR(__xludf.dummyfunction("""COMPUTED_VALUE"""),30001)</f>
        <v>30001</v>
      </c>
      <c r="C1009" s="24" t="n">
        <f aca="false">IFERROR(__xludf.dummyfunction("""COMPUTED_VALUE"""),10)</f>
        <v>10</v>
      </c>
      <c r="D1009" s="0" t="n">
        <f aca="false">IFERROR(__xludf.dummyfunction("""COMPUTED_VALUE"""),1)</f>
        <v>1</v>
      </c>
      <c r="E1009" s="0" t="n">
        <f aca="false">IFERROR(__xludf.dummyfunction("""COMPUTED_VALUE"""),10)</f>
        <v>10</v>
      </c>
      <c r="F1009" s="0" t="str">
        <f aca="false">IFERROR(__xludf.dummyfunction("filter(Formulas!$C:$C,Formulas!$A:$A=B1009)"),"""formula"":[{""sku"":""1307"",""req"":3}]")</f>
        <v>"formula":[{"sku":"1307","req":3}]</v>
      </c>
      <c r="G1009" s="0" t="n">
        <f aca="false">IFERROR(__xludf.dummyfunction("""COMPUTED_VALUE"""),1)</f>
        <v>1</v>
      </c>
      <c r="H1009" s="21" t="str">
        <f aca="false">IFERROR(__xludf.dummyfunction("IF(D1009,filter(Productos!AC:AC,Productos!A:A=B1009),)"),"cocina")</f>
        <v>cocina</v>
      </c>
      <c r="I1009" s="24" t="n">
        <f aca="false">IFERROR(__xludf.dummyfunction("""COMPUTED_VALUE"""),7900)</f>
        <v>7900</v>
      </c>
      <c r="K1009" s="0" t="str">
        <f aca="false">IF(D1009,"{""sku"":"""&amp;B1009&amp;""", ""costo"":"&amp;C1009&amp;", ""grupo"":"""&amp;A1009&amp;""", ""lote"":"&amp;D1009&amp;", ""tiempo"":"&amp;E1009&amp;", "&amp;F1009&amp;", ""vencimiento"":"&amp;G1009&amp;IF(I1009,", ""precio"":"&amp;I1009,)&amp;", ""tipo"":"""&amp;H1009&amp;"""},",)</f>
        <v>{"sku":"30001", "costo":10, "grupo":"14", "lote":1, "tiempo":10, "formula":[{"sku":"1307","req":3}], "vencimiento":1, "precio":7900, "tipo":"cocina"},</v>
      </c>
    </row>
    <row r="1010" customFormat="false" ht="13" hidden="false" customHeight="false" outlineLevel="0" collapsed="false">
      <c r="A1010" s="16" t="n">
        <v>14</v>
      </c>
      <c r="B1010" s="0" t="n">
        <f aca="false">IFERROR(__xludf.dummyfunction("""COMPUTED_VALUE"""),30002)</f>
        <v>30002</v>
      </c>
      <c r="C1010" s="24" t="n">
        <f aca="false">IFERROR(__xludf.dummyfunction("""COMPUTED_VALUE"""),10)</f>
        <v>10</v>
      </c>
      <c r="D1010" s="0" t="n">
        <f aca="false">IFERROR(__xludf.dummyfunction("""COMPUTED_VALUE"""),1)</f>
        <v>1</v>
      </c>
      <c r="E1010" s="0" t="n">
        <f aca="false">IFERROR(__xludf.dummyfunction("""COMPUTED_VALUE"""),10)</f>
        <v>10</v>
      </c>
      <c r="F1010" s="0" t="str">
        <f aca="false">IFERROR(__xludf.dummyfunction("filter(Formulas!$C:$C,Formulas!$A:$A=B1010)"),"""formula"":[{""sku"":""1307"",""req"":4}]")</f>
        <v>"formula":[{"sku":"1307","req":4}]</v>
      </c>
      <c r="G1010" s="0" t="n">
        <f aca="false">IFERROR(__xludf.dummyfunction("""COMPUTED_VALUE"""),1)</f>
        <v>1</v>
      </c>
      <c r="H1010" s="21" t="str">
        <f aca="false">IFERROR(__xludf.dummyfunction("IF(D1010,filter(Productos!AC:AC,Productos!A:A=B1010),)"),"cocina")</f>
        <v>cocina</v>
      </c>
      <c r="I1010" s="24" t="n">
        <f aca="false">IFERROR(__xludf.dummyfunction("""COMPUTED_VALUE"""),9900)</f>
        <v>9900</v>
      </c>
      <c r="K1010" s="0" t="str">
        <f aca="false">IF(D1010,"{""sku"":"""&amp;B1010&amp;""", ""costo"":"&amp;C1010&amp;", ""grupo"":"""&amp;A1010&amp;""", ""lote"":"&amp;D1010&amp;", ""tiempo"":"&amp;E1010&amp;", "&amp;F1010&amp;", ""vencimiento"":"&amp;G1010&amp;IF(I1010,", ""precio"":"&amp;I1010,)&amp;", ""tipo"":"""&amp;H1010&amp;"""},",)</f>
        <v>{"sku":"30002", "costo":10, "grupo":"14", "lote":1, "tiempo":10, "formula":[{"sku":"1307","req":4}], "vencimiento":1, "precio":9900, "tipo":"cocina"},</v>
      </c>
    </row>
    <row r="1011" customFormat="false" ht="13" hidden="false" customHeight="false" outlineLevel="0" collapsed="false">
      <c r="A1011" s="17" t="n">
        <v>14</v>
      </c>
      <c r="B1011" s="0" t="n">
        <f aca="false">IFERROR(__xludf.dummyfunction("""COMPUTED_VALUE"""),30003)</f>
        <v>30003</v>
      </c>
      <c r="C1011" s="24" t="n">
        <f aca="false">IFERROR(__xludf.dummyfunction("""COMPUTED_VALUE"""),10)</f>
        <v>10</v>
      </c>
      <c r="D1011" s="0" t="n">
        <f aca="false">IFERROR(__xludf.dummyfunction("""COMPUTED_VALUE"""),1)</f>
        <v>1</v>
      </c>
      <c r="E1011" s="0" t="n">
        <f aca="false">IFERROR(__xludf.dummyfunction("""COMPUTED_VALUE"""),10)</f>
        <v>10</v>
      </c>
      <c r="F1011" s="0" t="str">
        <f aca="false">IFERROR(__xludf.dummyfunction("filter(Formulas!$C:$C,Formulas!$A:$A=B1011)"),"""formula"":[{""sku"":""1307"",""req"":5}]")</f>
        <v>"formula":[{"sku":"1307","req":5}]</v>
      </c>
      <c r="G1011" s="0" t="n">
        <f aca="false">IFERROR(__xludf.dummyfunction("""COMPUTED_VALUE"""),1)</f>
        <v>1</v>
      </c>
      <c r="H1011" s="21" t="str">
        <f aca="false">IFERROR(__xludf.dummyfunction("IF(D1011,filter(Productos!AC:AC,Productos!A:A=B1011),)"),"cocina")</f>
        <v>cocina</v>
      </c>
      <c r="I1011" s="24" t="n">
        <f aca="false">IFERROR(__xludf.dummyfunction("""COMPUTED_VALUE"""),12500)</f>
        <v>12500</v>
      </c>
      <c r="K1011" s="0" t="str">
        <f aca="false">IF(D1011,"{""sku"":"""&amp;B1011&amp;""", ""costo"":"&amp;C1011&amp;", ""grupo"":"""&amp;A1011&amp;""", ""lote"":"&amp;D1011&amp;", ""tiempo"":"&amp;E1011&amp;", "&amp;F1011&amp;", ""vencimiento"":"&amp;G1011&amp;IF(I1011,", ""precio"":"&amp;I1011,)&amp;", ""tipo"":"""&amp;H1011&amp;"""},",)</f>
        <v>{"sku":"30003", "costo":10, "grupo":"14", "lote":1, "tiempo":10, "formula":[{"sku":"1307","req":5}], "vencimiento":1, "precio":12500, "tipo":"cocina"},</v>
      </c>
    </row>
    <row r="1012" customFormat="false" ht="13" hidden="false" customHeight="false" outlineLevel="0" collapsed="false">
      <c r="A1012" s="16" t="n">
        <v>14</v>
      </c>
      <c r="B1012" s="0" t="n">
        <f aca="false">IFERROR(__xludf.dummyfunction("""COMPUTED_VALUE"""),30004)</f>
        <v>30004</v>
      </c>
      <c r="C1012" s="24" t="n">
        <f aca="false">IFERROR(__xludf.dummyfunction("""COMPUTED_VALUE"""),10)</f>
        <v>10</v>
      </c>
      <c r="D1012" s="0" t="n">
        <f aca="false">IFERROR(__xludf.dummyfunction("""COMPUTED_VALUE"""),1)</f>
        <v>1</v>
      </c>
      <c r="E1012" s="0" t="n">
        <f aca="false">IFERROR(__xludf.dummyfunction("""COMPUTED_VALUE"""),10)</f>
        <v>10</v>
      </c>
      <c r="F1012" s="0" t="str">
        <f aca="false">IFERROR(__xludf.dummyfunction("filter(Formulas!$C:$C,Formulas!$A:$A=B1012)"),"""formula"":[{""sku"":""1309"",""req"":3}]")</f>
        <v>"formula":[{"sku":"1309","req":3}]</v>
      </c>
      <c r="G1012" s="0" t="n">
        <f aca="false">IFERROR(__xludf.dummyfunction("""COMPUTED_VALUE"""),1)</f>
        <v>1</v>
      </c>
      <c r="H1012" s="21" t="str">
        <f aca="false">IFERROR(__xludf.dummyfunction("IF(D1012,filter(Productos!AC:AC,Productos!A:A=B1012),)"),"cocina")</f>
        <v>cocina</v>
      </c>
      <c r="I1012" s="24" t="n">
        <f aca="false">IFERROR(__xludf.dummyfunction("""COMPUTED_VALUE"""),7900)</f>
        <v>7900</v>
      </c>
      <c r="K1012" s="0" t="str">
        <f aca="false">IF(D1012,"{""sku"":"""&amp;B1012&amp;""", ""costo"":"&amp;C1012&amp;", ""grupo"":"""&amp;A1012&amp;""", ""lote"":"&amp;D1012&amp;", ""tiempo"":"&amp;E1012&amp;", "&amp;F1012&amp;", ""vencimiento"":"&amp;G1012&amp;IF(I1012,", ""precio"":"&amp;I1012,)&amp;", ""tipo"":"""&amp;H1012&amp;"""},",)</f>
        <v>{"sku":"30004", "costo":10, "grupo":"14", "lote":1, "tiempo":10, "formula":[{"sku":"1309","req":3}], "vencimiento":1, "precio":7900, "tipo":"cocina"},</v>
      </c>
    </row>
    <row r="1013" customFormat="false" ht="13" hidden="false" customHeight="false" outlineLevel="0" collapsed="false">
      <c r="A1013" s="17" t="n">
        <v>14</v>
      </c>
      <c r="B1013" s="0" t="n">
        <f aca="false">IFERROR(__xludf.dummyfunction("""COMPUTED_VALUE"""),30005)</f>
        <v>30005</v>
      </c>
      <c r="C1013" s="24" t="n">
        <f aca="false">IFERROR(__xludf.dummyfunction("""COMPUTED_VALUE"""),10)</f>
        <v>10</v>
      </c>
      <c r="D1013" s="0" t="n">
        <f aca="false">IFERROR(__xludf.dummyfunction("""COMPUTED_VALUE"""),1)</f>
        <v>1</v>
      </c>
      <c r="E1013" s="0" t="n">
        <f aca="false">IFERROR(__xludf.dummyfunction("""COMPUTED_VALUE"""),10)</f>
        <v>10</v>
      </c>
      <c r="F1013" s="0" t="str">
        <f aca="false">IFERROR(__xludf.dummyfunction("filter(Formulas!$C:$C,Formulas!$A:$A=B1013)"),"""formula"":[{""sku"":""1309"",""req"":4}]")</f>
        <v>"formula":[{"sku":"1309","req":4}]</v>
      </c>
      <c r="G1013" s="0" t="n">
        <f aca="false">IFERROR(__xludf.dummyfunction("""COMPUTED_VALUE"""),1)</f>
        <v>1</v>
      </c>
      <c r="H1013" s="21" t="str">
        <f aca="false">IFERROR(__xludf.dummyfunction("IF(D1013,filter(Productos!AC:AC,Productos!A:A=B1013),)"),"cocina")</f>
        <v>cocina</v>
      </c>
      <c r="I1013" s="24" t="n">
        <f aca="false">IFERROR(__xludf.dummyfunction("""COMPUTED_VALUE"""),9900)</f>
        <v>9900</v>
      </c>
      <c r="K1013" s="0" t="str">
        <f aca="false">IF(D1013,"{""sku"":"""&amp;B1013&amp;""", ""costo"":"&amp;C1013&amp;", ""grupo"":"""&amp;A1013&amp;""", ""lote"":"&amp;D1013&amp;", ""tiempo"":"&amp;E1013&amp;", "&amp;F1013&amp;", ""vencimiento"":"&amp;G1013&amp;IF(I1013,", ""precio"":"&amp;I1013,)&amp;", ""tipo"":"""&amp;H1013&amp;"""},",)</f>
        <v>{"sku":"30005", "costo":10, "grupo":"14", "lote":1, "tiempo":10, "formula":[{"sku":"1309","req":4}], "vencimiento":1, "precio":9900, "tipo":"cocina"},</v>
      </c>
    </row>
    <row r="1014" customFormat="false" ht="13" hidden="false" customHeight="false" outlineLevel="0" collapsed="false">
      <c r="A1014" s="16" t="n">
        <v>14</v>
      </c>
      <c r="B1014" s="0" t="n">
        <f aca="false">IFERROR(__xludf.dummyfunction("""COMPUTED_VALUE"""),30006)</f>
        <v>30006</v>
      </c>
      <c r="C1014" s="24" t="n">
        <f aca="false">IFERROR(__xludf.dummyfunction("""COMPUTED_VALUE"""),10)</f>
        <v>10</v>
      </c>
      <c r="D1014" s="0" t="n">
        <f aca="false">IFERROR(__xludf.dummyfunction("""COMPUTED_VALUE"""),1)</f>
        <v>1</v>
      </c>
      <c r="E1014" s="0" t="n">
        <f aca="false">IFERROR(__xludf.dummyfunction("""COMPUTED_VALUE"""),10)</f>
        <v>10</v>
      </c>
      <c r="F1014" s="0" t="str">
        <f aca="false">IFERROR(__xludf.dummyfunction("filter(Formulas!$C:$C,Formulas!$A:$A=B1014)"),"""formula"":[{""sku"":""1309"",""req"":5}]")</f>
        <v>"formula":[{"sku":"1309","req":5}]</v>
      </c>
      <c r="G1014" s="0" t="n">
        <f aca="false">IFERROR(__xludf.dummyfunction("""COMPUTED_VALUE"""),1)</f>
        <v>1</v>
      </c>
      <c r="H1014" s="21" t="str">
        <f aca="false">IFERROR(__xludf.dummyfunction("IF(D1014,filter(Productos!AC:AC,Productos!A:A=B1014),)"),"cocina")</f>
        <v>cocina</v>
      </c>
      <c r="I1014" s="24" t="n">
        <f aca="false">IFERROR(__xludf.dummyfunction("""COMPUTED_VALUE"""),12500)</f>
        <v>12500</v>
      </c>
      <c r="K1014" s="0" t="str">
        <f aca="false">IF(D1014,"{""sku"":"""&amp;B1014&amp;""", ""costo"":"&amp;C1014&amp;", ""grupo"":"""&amp;A1014&amp;""", ""lote"":"&amp;D1014&amp;", ""tiempo"":"&amp;E1014&amp;", "&amp;F1014&amp;", ""vencimiento"":"&amp;G1014&amp;IF(I1014,", ""precio"":"&amp;I1014,)&amp;", ""tipo"":"""&amp;H1014&amp;"""},",)</f>
        <v>{"sku":"30006", "costo":10, "grupo":"14", "lote":1, "tiempo":10, "formula":[{"sku":"1309","req":5}], "vencimiento":1, "precio":12500, "tipo":"cocina"},</v>
      </c>
    </row>
    <row r="1015" customFormat="false" ht="13" hidden="false" customHeight="false" outlineLevel="0" collapsed="false">
      <c r="A1015" s="17" t="n">
        <v>14</v>
      </c>
      <c r="B1015" s="0" t="n">
        <f aca="false">IFERROR(__xludf.dummyfunction("""COMPUTED_VALUE"""),30007)</f>
        <v>30007</v>
      </c>
      <c r="C1015" s="24" t="n">
        <f aca="false">IFERROR(__xludf.dummyfunction("""COMPUTED_VALUE"""),10)</f>
        <v>10</v>
      </c>
      <c r="D1015" s="0" t="n">
        <f aca="false">IFERROR(__xludf.dummyfunction("""COMPUTED_VALUE"""),1)</f>
        <v>1</v>
      </c>
      <c r="E1015" s="0" t="n">
        <f aca="false">IFERROR(__xludf.dummyfunction("""COMPUTED_VALUE"""),10)</f>
        <v>10</v>
      </c>
      <c r="F1015" s="0" t="str">
        <f aca="false">IFERROR(__xludf.dummyfunction("filter(Formulas!$C:$C,Formulas!$A:$A=B1015)"),"""formula"":[{""sku"":""1309"",""req"":2},{""sku"":""1307"",""req"":2}]")</f>
        <v>"formula":[{"sku":"1309","req":2},{"sku":"1307","req":2}]</v>
      </c>
      <c r="G1015" s="0" t="n">
        <f aca="false">IFERROR(__xludf.dummyfunction("""COMPUTED_VALUE"""),1)</f>
        <v>1</v>
      </c>
      <c r="H1015" s="21" t="str">
        <f aca="false">IFERROR(__xludf.dummyfunction("IF(D1015,filter(Productos!AC:AC,Productos!A:A=B1015),)"),"cocina")</f>
        <v>cocina</v>
      </c>
      <c r="I1015" s="24" t="n">
        <f aca="false">IFERROR(__xludf.dummyfunction("""COMPUTED_VALUE"""),9900)</f>
        <v>9900</v>
      </c>
      <c r="K1015" s="0" t="str">
        <f aca="false">IF(D1015,"{""sku"":"""&amp;B1015&amp;""", ""costo"":"&amp;C1015&amp;", ""grupo"":"""&amp;A1015&amp;""", ""lote"":"&amp;D1015&amp;", ""tiempo"":"&amp;E1015&amp;", "&amp;F1015&amp;", ""vencimiento"":"&amp;G1015&amp;IF(I1015,", ""precio"":"&amp;I1015,)&amp;", ""tipo"":"""&amp;H1015&amp;"""},",)</f>
        <v>{"sku":"30007", "costo":10, "grupo":"14", "lote":1, "tiempo":10, "formula":[{"sku":"1309","req":2},{"sku":"1307","req":2}], "vencimiento":1, "precio":9900, "tipo":"cocina"},</v>
      </c>
    </row>
    <row r="1016" customFormat="false" ht="13" hidden="false" customHeight="false" outlineLevel="0" collapsed="false">
      <c r="A1016" s="16" t="n">
        <v>14</v>
      </c>
      <c r="B1016" s="0" t="n">
        <f aca="false">IFERROR(__xludf.dummyfunction("""COMPUTED_VALUE"""),30008)</f>
        <v>30008</v>
      </c>
      <c r="C1016" s="24" t="n">
        <f aca="false">IFERROR(__xludf.dummyfunction("""COMPUTED_VALUE"""),10)</f>
        <v>10</v>
      </c>
      <c r="D1016" s="0" t="n">
        <f aca="false">IFERROR(__xludf.dummyfunction("""COMPUTED_VALUE"""),1)</f>
        <v>1</v>
      </c>
      <c r="E1016" s="0" t="n">
        <f aca="false">IFERROR(__xludf.dummyfunction("""COMPUTED_VALUE"""),10)</f>
        <v>10</v>
      </c>
      <c r="F1016" s="0" t="str">
        <f aca="false">IFERROR(__xludf.dummyfunction("filter(Formulas!$C:$C,Formulas!$A:$A=B1016)"),"""formula"":[{""sku"":""1309"",""req"":3},{""sku"":""1307"",""req"":3}]")</f>
        <v>"formula":[{"sku":"1309","req":3},{"sku":"1307","req":3}]</v>
      </c>
      <c r="G1016" s="0" t="n">
        <f aca="false">IFERROR(__xludf.dummyfunction("""COMPUTED_VALUE"""),1)</f>
        <v>1</v>
      </c>
      <c r="H1016" s="21" t="str">
        <f aca="false">IFERROR(__xludf.dummyfunction("IF(D1016,filter(Productos!AC:AC,Productos!A:A=B1016),)"),"cocina")</f>
        <v>cocina</v>
      </c>
      <c r="I1016" s="24" t="n">
        <f aca="false">IFERROR(__xludf.dummyfunction("""COMPUTED_VALUE"""),15990)</f>
        <v>15990</v>
      </c>
      <c r="K1016" s="0" t="str">
        <f aca="false">IF(D1016,"{""sku"":"""&amp;B1016&amp;""", ""costo"":"&amp;C1016&amp;", ""grupo"":"""&amp;A1016&amp;""", ""lote"":"&amp;D1016&amp;", ""tiempo"":"&amp;E1016&amp;", "&amp;F1016&amp;", ""vencimiento"":"&amp;G1016&amp;IF(I1016,", ""precio"":"&amp;I1016,)&amp;", ""tipo"":"""&amp;H1016&amp;"""},",)</f>
        <v>{"sku":"30008", "costo":10, "grupo":"14", "lote":1, "tiempo":10, "formula":[{"sku":"1309","req":3},{"sku":"1307","req":3}], "vencimiento":1, "precio":15990, "tipo":"cocina"},</v>
      </c>
    </row>
    <row r="1017" customFormat="false" ht="13" hidden="false" customHeight="false" outlineLevel="0" collapsed="false">
      <c r="H1017" s="21"/>
      <c r="K1017" s="0" t="n">
        <f aca="false">IF(A1017,"{""sku"":"""&amp;B1017&amp;""", ""costo"":"&amp;C1017&amp;", ""grupo"":"""&amp;A1017&amp;""", ""lote"":"&amp;D1017&amp;", ""tiempo"":"&amp;E1017&amp;", "&amp;F1017&amp;", ""vencimiento"":"&amp;G1017&amp;", ""tipo"":"""&amp;H1017&amp;"""},",)</f>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0" t="str">
        <f aca="false">IFERROR(__xludf.dummyfunction("filter(Productos!A:A,Productos!A:A&lt;&gt;"""")"),"SKU")</f>
        <v>SKU</v>
      </c>
      <c r="B1" s="0" t="str">
        <f aca="false">IFERROR(__xludf.dummyfunction("filter(Productos!F:F,Productos!A:A&lt;&gt;"""")"),"# Ingredientes")</f>
        <v># Ingredientes</v>
      </c>
      <c r="C1" s="16" t="s">
        <v>266</v>
      </c>
      <c r="E1" s="16" t="s">
        <v>0</v>
      </c>
      <c r="F1" s="16" t="s">
        <v>267</v>
      </c>
      <c r="G1" s="16" t="s">
        <v>268</v>
      </c>
    </row>
    <row r="2" customFormat="false" ht="15.75" hidden="false" customHeight="true" outlineLevel="0" collapsed="false">
      <c r="A2" s="0" t="n">
        <f aca="false">IFERROR(__xludf.dummyfunction("""COMPUTED_VALUE"""),1001)</f>
        <v>1001</v>
      </c>
      <c r="B2" s="0" t="n">
        <f aca="false">IFERROR(__xludf.dummyfunction("""COMPUTED_VALUE"""),0)</f>
        <v>0</v>
      </c>
      <c r="C2" s="0" t="str">
        <f aca="false">IFERROR(__xludf.dummyfunction("if(B2=0,""""""formula"""":null"",""""""formula"""":[""&amp;JOIN("","",FILTER(H:H,E:E=A2))&amp;""]"")"),"""formula"":null")</f>
        <v>"formula":null</v>
      </c>
      <c r="E2" s="0" t="n">
        <f aca="false">IFERROR(__xludf.dummyfunction("filter(Ingredientes!A:A,Ingredientes!A:A)"),1101)</f>
        <v>1101</v>
      </c>
      <c r="F2" s="0" t="n">
        <f aca="false">IFERROR(__xludf.dummyfunction("filter(Ingredientes!C:C,Ingredientes!C:C)"),1001)</f>
        <v>1001</v>
      </c>
      <c r="G2" s="21" t="n">
        <f aca="false">IFERROR(__xludf.dummyfunction("filter(Ingredientes!J:J,Ingredientes!J:J)"),8)</f>
        <v>8</v>
      </c>
      <c r="H2" s="0" t="str">
        <f aca="false">"{""sku"":"""&amp;F2&amp;""",""req"":"&amp;G2&amp;"}"</f>
        <v>{"sku":"1001","req":8}</v>
      </c>
    </row>
    <row r="3" customFormat="false" ht="15.75" hidden="false" customHeight="true" outlineLevel="0" collapsed="false">
      <c r="A3" s="0" t="n">
        <f aca="false">IFERROR(__xludf.dummyfunction("""COMPUTED_VALUE"""),1002)</f>
        <v>1002</v>
      </c>
      <c r="B3" s="0" t="n">
        <f aca="false">IFERROR(__xludf.dummyfunction("""COMPUTED_VALUE"""),0)</f>
        <v>0</v>
      </c>
      <c r="C3" s="0" t="str">
        <f aca="false">IFERROR(__xludf.dummyfunction("if(B2=0,""""""formula"""":null"",""""""formula"""":[""&amp;JOIN("","",FILTER(H:H,E:E=A2))&amp;""]"")"),"""formula"":null")</f>
        <v>"formula":null</v>
      </c>
      <c r="E3" s="0" t="n">
        <f aca="false">IFERROR(__xludf.dummyfunction("""COMPUTED_VALUE"""),1101)</f>
        <v>1101</v>
      </c>
      <c r="F3" s="0" t="n">
        <f aca="false">IFERROR(__xludf.dummyfunction("""COMPUTED_VALUE"""),1003)</f>
        <v>1003</v>
      </c>
      <c r="G3" s="21" t="n">
        <f aca="false">IFERROR(__xludf.dummyfunction("""COMPUTED_VALUE"""),3)</f>
        <v>3</v>
      </c>
      <c r="H3" s="0" t="str">
        <f aca="false">"{""sku"":"""&amp;F3&amp;""",""req"":"&amp;G3&amp;"}"</f>
        <v>{"sku":"1003","req":3}</v>
      </c>
    </row>
    <row r="4" customFormat="false" ht="15.75" hidden="false" customHeight="true" outlineLevel="0" collapsed="false">
      <c r="A4" s="0" t="n">
        <f aca="false">IFERROR(__xludf.dummyfunction("""COMPUTED_VALUE"""),1003)</f>
        <v>1003</v>
      </c>
      <c r="B4" s="0" t="n">
        <f aca="false">IFERROR(__xludf.dummyfunction("""COMPUTED_VALUE"""),0)</f>
        <v>0</v>
      </c>
      <c r="C4" s="0" t="str">
        <f aca="false">IFERROR(__xludf.dummyfunction("if(B2=0,""""""formula"""":null"",""""""formula"""":[""&amp;JOIN("","",FILTER(H:H,E:E=A2))&amp;""]"")"),"""formula"":null")</f>
        <v>"formula":null</v>
      </c>
      <c r="E4" s="0" t="n">
        <f aca="false">IFERROR(__xludf.dummyfunction("""COMPUTED_VALUE"""),1101)</f>
        <v>1101</v>
      </c>
      <c r="F4" s="0" t="n">
        <f aca="false">IFERROR(__xludf.dummyfunction("""COMPUTED_VALUE"""),1004)</f>
        <v>1004</v>
      </c>
      <c r="G4" s="21" t="n">
        <f aca="false">IFERROR(__xludf.dummyfunction("""COMPUTED_VALUE"""),2)</f>
        <v>2</v>
      </c>
      <c r="H4" s="0" t="str">
        <f aca="false">"{""sku"":"""&amp;F4&amp;""",""req"":"&amp;G4&amp;"}"</f>
        <v>{"sku":"1004","req":2}</v>
      </c>
    </row>
    <row r="5" customFormat="false" ht="15.75" hidden="false" customHeight="true" outlineLevel="0" collapsed="false">
      <c r="A5" s="0" t="n">
        <f aca="false">IFERROR(__xludf.dummyfunction("""COMPUTED_VALUE"""),1004)</f>
        <v>1004</v>
      </c>
      <c r="B5" s="0" t="n">
        <f aca="false">IFERROR(__xludf.dummyfunction("""COMPUTED_VALUE"""),0)</f>
        <v>0</v>
      </c>
      <c r="C5" s="0" t="str">
        <f aca="false">IFERROR(__xludf.dummyfunction("if(B2=0,""""""formula"""":null"",""""""formula"""":[""&amp;JOIN("","",FILTER(H:H,E:E=A2))&amp;""]"")"),"""formula"":null")</f>
        <v>"formula":null</v>
      </c>
      <c r="E5" s="0" t="n">
        <f aca="false">IFERROR(__xludf.dummyfunction("""COMPUTED_VALUE"""),1101)</f>
        <v>1101</v>
      </c>
      <c r="F5" s="0" t="n">
        <f aca="false">IFERROR(__xludf.dummyfunction("""COMPUTED_VALUE"""),1002)</f>
        <v>1002</v>
      </c>
      <c r="G5" s="21" t="n">
        <f aca="false">IFERROR(__xludf.dummyfunction("""COMPUTED_VALUE"""),4)</f>
        <v>4</v>
      </c>
      <c r="H5" s="0" t="str">
        <f aca="false">"{""sku"":"""&amp;F5&amp;""",""req"":"&amp;G5&amp;"}"</f>
        <v>{"sku":"1002","req":4}</v>
      </c>
    </row>
    <row r="6" customFormat="false" ht="15.75" hidden="false" customHeight="true" outlineLevel="0" collapsed="false">
      <c r="A6" s="0" t="n">
        <f aca="false">IFERROR(__xludf.dummyfunction("""COMPUTED_VALUE"""),1005)</f>
        <v>1005</v>
      </c>
      <c r="B6" s="0" t="n">
        <f aca="false">IFERROR(__xludf.dummyfunction("""COMPUTED_VALUE"""),0)</f>
        <v>0</v>
      </c>
      <c r="C6" s="0" t="str">
        <f aca="false">IFERROR(__xludf.dummyfunction("if(B2=0,""""""formula"""":null"",""""""formula"""":[""&amp;JOIN("","",FILTER(H:H,E:E=A2))&amp;""]"")"),"""formula"":null")</f>
        <v>"formula":null</v>
      </c>
      <c r="E6" s="0" t="n">
        <f aca="false">IFERROR(__xludf.dummyfunction("""COMPUTED_VALUE"""),1105)</f>
        <v>1105</v>
      </c>
      <c r="F6" s="0" t="n">
        <f aca="false">IFERROR(__xludf.dummyfunction("""COMPUTED_VALUE"""),1005)</f>
        <v>1005</v>
      </c>
      <c r="G6" s="21" t="n">
        <f aca="false">IFERROR(__xludf.dummyfunction("""COMPUTED_VALUE"""),1)</f>
        <v>1</v>
      </c>
      <c r="H6" s="0" t="str">
        <f aca="false">"{""sku"":"""&amp;F6&amp;""",""req"":"&amp;G6&amp;"}"</f>
        <v>{"sku":"1005","req":1}</v>
      </c>
    </row>
    <row r="7" customFormat="false" ht="15.75" hidden="false" customHeight="true" outlineLevel="0" collapsed="false">
      <c r="A7" s="0" t="n">
        <f aca="false">IFERROR(__xludf.dummyfunction("""COMPUTED_VALUE"""),1006)</f>
        <v>1006</v>
      </c>
      <c r="B7" s="0" t="n">
        <f aca="false">IFERROR(__xludf.dummyfunction("""COMPUTED_VALUE"""),0)</f>
        <v>0</v>
      </c>
      <c r="C7" s="0" t="str">
        <f aca="false">IFERROR(__xludf.dummyfunction("if(B2=0,""""""formula"""":null"",""""""formula"""":[""&amp;JOIN("","",FILTER(H:H,E:E=A2))&amp;""]"")"),"""formula"":null")</f>
        <v>"formula":null</v>
      </c>
      <c r="E7" s="0" t="n">
        <f aca="false">IFERROR(__xludf.dummyfunction("""COMPUTED_VALUE"""),1106)</f>
        <v>1106</v>
      </c>
      <c r="F7" s="0" t="n">
        <f aca="false">IFERROR(__xludf.dummyfunction("""COMPUTED_VALUE"""),1006)</f>
        <v>1006</v>
      </c>
      <c r="G7" s="21" t="n">
        <f aca="false">IFERROR(__xludf.dummyfunction("""COMPUTED_VALUE"""),1)</f>
        <v>1</v>
      </c>
      <c r="H7" s="0" t="str">
        <f aca="false">"{""sku"":"""&amp;F7&amp;""",""req"":"&amp;G7&amp;"}"</f>
        <v>{"sku":"1006","req":1}</v>
      </c>
    </row>
    <row r="8" customFormat="false" ht="15.75" hidden="false" customHeight="true" outlineLevel="0" collapsed="false">
      <c r="A8" s="0" t="n">
        <f aca="false">IFERROR(__xludf.dummyfunction("""COMPUTED_VALUE"""),1007)</f>
        <v>1007</v>
      </c>
      <c r="B8" s="0" t="n">
        <f aca="false">IFERROR(__xludf.dummyfunction("""COMPUTED_VALUE"""),0)</f>
        <v>0</v>
      </c>
      <c r="C8" s="0" t="str">
        <f aca="false">IFERROR(__xludf.dummyfunction("if(B2=0,""""""formula"""":null"",""""""formula"""":[""&amp;JOIN("","",FILTER(H:H,E:E=A2))&amp;""]"")"),"""formula"":null")</f>
        <v>"formula":null</v>
      </c>
      <c r="E8" s="0" t="n">
        <f aca="false">IFERROR(__xludf.dummyfunction("""COMPUTED_VALUE"""),1107)</f>
        <v>1107</v>
      </c>
      <c r="F8" s="0" t="n">
        <f aca="false">IFERROR(__xludf.dummyfunction("""COMPUTED_VALUE"""),1007)</f>
        <v>1007</v>
      </c>
      <c r="G8" s="21" t="n">
        <f aca="false">IFERROR(__xludf.dummyfunction("""COMPUTED_VALUE"""),1)</f>
        <v>1</v>
      </c>
      <c r="H8" s="0" t="str">
        <f aca="false">"{""sku"":"""&amp;F8&amp;""",""req"":"&amp;G8&amp;"}"</f>
        <v>{"sku":"1007","req":1}</v>
      </c>
    </row>
    <row r="9" customFormat="false" ht="15.75" hidden="false" customHeight="true" outlineLevel="0" collapsed="false">
      <c r="A9" s="0" t="n">
        <f aca="false">IFERROR(__xludf.dummyfunction("""COMPUTED_VALUE"""),1008)</f>
        <v>1008</v>
      </c>
      <c r="B9" s="0" t="n">
        <f aca="false">IFERROR(__xludf.dummyfunction("""COMPUTED_VALUE"""),0)</f>
        <v>0</v>
      </c>
      <c r="C9" s="0" t="str">
        <f aca="false">IFERROR(__xludf.dummyfunction("if(B2=0,""""""formula"""":null"",""""""formula"""":[""&amp;JOIN("","",FILTER(H:H,E:E=A2))&amp;""]"")"),"""formula"":null")</f>
        <v>"formula":null</v>
      </c>
      <c r="E9" s="0" t="n">
        <f aca="false">IFERROR(__xludf.dummyfunction("""COMPUTED_VALUE"""),1108)</f>
        <v>1108</v>
      </c>
      <c r="F9" s="0" t="n">
        <f aca="false">IFERROR(__xludf.dummyfunction("""COMPUTED_VALUE"""),1008)</f>
        <v>1008</v>
      </c>
      <c r="G9" s="21" t="n">
        <f aca="false">IFERROR(__xludf.dummyfunction("""COMPUTED_VALUE"""),1)</f>
        <v>1</v>
      </c>
      <c r="H9" s="0" t="str">
        <f aca="false">"{""sku"":"""&amp;F9&amp;""",""req"":"&amp;G9&amp;"}"</f>
        <v>{"sku":"1008","req":1}</v>
      </c>
    </row>
    <row r="10" customFormat="false" ht="15.75" hidden="false" customHeight="true" outlineLevel="0" collapsed="false">
      <c r="A10" s="0" t="n">
        <f aca="false">IFERROR(__xludf.dummyfunction("""COMPUTED_VALUE"""),1009)</f>
        <v>1009</v>
      </c>
      <c r="B10" s="0" t="n">
        <f aca="false">IFERROR(__xludf.dummyfunction("""COMPUTED_VALUE"""),0)</f>
        <v>0</v>
      </c>
      <c r="C10" s="0" t="str">
        <f aca="false">IFERROR(__xludf.dummyfunction("if(B2=0,""""""formula"""":null"",""""""formula"""":[""&amp;JOIN("","",FILTER(H:H,E:E=A2))&amp;""]"")"),"""formula"":null")</f>
        <v>"formula":null</v>
      </c>
      <c r="E10" s="0" t="n">
        <f aca="false">IFERROR(__xludf.dummyfunction("""COMPUTED_VALUE"""),1109)</f>
        <v>1109</v>
      </c>
      <c r="F10" s="0" t="n">
        <f aca="false">IFERROR(__xludf.dummyfunction("""COMPUTED_VALUE"""),1009)</f>
        <v>1009</v>
      </c>
      <c r="G10" s="21" t="n">
        <f aca="false">IFERROR(__xludf.dummyfunction("""COMPUTED_VALUE"""),1)</f>
        <v>1</v>
      </c>
      <c r="H10" s="0" t="str">
        <f aca="false">"{""sku"":"""&amp;F10&amp;""",""req"":"&amp;G10&amp;"}"</f>
        <v>{"sku":"1009","req":1}</v>
      </c>
    </row>
    <row r="11" customFormat="false" ht="15.75" hidden="false" customHeight="true" outlineLevel="0" collapsed="false">
      <c r="A11" s="0" t="n">
        <f aca="false">IFERROR(__xludf.dummyfunction("""COMPUTED_VALUE"""),1010)</f>
        <v>1010</v>
      </c>
      <c r="B11" s="0" t="n">
        <f aca="false">IFERROR(__xludf.dummyfunction("""COMPUTED_VALUE"""),0)</f>
        <v>0</v>
      </c>
      <c r="C11" s="0" t="str">
        <f aca="false">IFERROR(__xludf.dummyfunction("if(B2=0,""""""formula"""":null"",""""""formula"""":[""&amp;JOIN("","",FILTER(H:H,E:E=A2))&amp;""]"")"),"""formula"":null")</f>
        <v>"formula":null</v>
      </c>
      <c r="E11" s="0" t="n">
        <f aca="false">IFERROR(__xludf.dummyfunction("""COMPUTED_VALUE"""),1110)</f>
        <v>1110</v>
      </c>
      <c r="F11" s="0" t="n">
        <f aca="false">IFERROR(__xludf.dummyfunction("""COMPUTED_VALUE"""),1010)</f>
        <v>1010</v>
      </c>
      <c r="G11" s="21" t="n">
        <f aca="false">IFERROR(__xludf.dummyfunction("""COMPUTED_VALUE"""),1)</f>
        <v>1</v>
      </c>
      <c r="H11" s="0" t="str">
        <f aca="false">"{""sku"":"""&amp;F11&amp;""",""req"":"&amp;G11&amp;"}"</f>
        <v>{"sku":"1010","req":1}</v>
      </c>
    </row>
    <row r="12" customFormat="false" ht="15.75" hidden="false" customHeight="true" outlineLevel="0" collapsed="false">
      <c r="A12" s="0" t="n">
        <f aca="false">IFERROR(__xludf.dummyfunction("""COMPUTED_VALUE"""),1011)</f>
        <v>1011</v>
      </c>
      <c r="B12" s="0" t="n">
        <f aca="false">IFERROR(__xludf.dummyfunction("""COMPUTED_VALUE"""),0)</f>
        <v>0</v>
      </c>
      <c r="C12" s="0" t="str">
        <f aca="false">IFERROR(__xludf.dummyfunction("if(B2=0,""""""formula"""":null"",""""""formula"""":[""&amp;JOIN("","",FILTER(H:H,E:E=A2))&amp;""]"")"),"""formula"":null")</f>
        <v>"formula":null</v>
      </c>
      <c r="E12" s="0" t="n">
        <f aca="false">IFERROR(__xludf.dummyfunction("""COMPUTED_VALUE"""),1111)</f>
        <v>1111</v>
      </c>
      <c r="F12" s="0" t="n">
        <f aca="false">IFERROR(__xludf.dummyfunction("""COMPUTED_VALUE"""),1011)</f>
        <v>1011</v>
      </c>
      <c r="G12" s="21" t="n">
        <f aca="false">IFERROR(__xludf.dummyfunction("""COMPUTED_VALUE"""),2)</f>
        <v>2</v>
      </c>
      <c r="H12" s="0" t="str">
        <f aca="false">"{""sku"":"""&amp;F12&amp;""",""req"":"&amp;G12&amp;"}"</f>
        <v>{"sku":"1011","req":2}</v>
      </c>
    </row>
    <row r="13" customFormat="false" ht="15.75" hidden="false" customHeight="true" outlineLevel="0" collapsed="false">
      <c r="A13" s="0" t="n">
        <f aca="false">IFERROR(__xludf.dummyfunction("""COMPUTED_VALUE"""),1012)</f>
        <v>1012</v>
      </c>
      <c r="B13" s="0" t="n">
        <f aca="false">IFERROR(__xludf.dummyfunction("""COMPUTED_VALUE"""),0)</f>
        <v>0</v>
      </c>
      <c r="C13" s="0" t="str">
        <f aca="false">IFERROR(__xludf.dummyfunction("if(B2=0,""""""formula"""":null"",""""""formula"""":[""&amp;JOIN("","",FILTER(H:H,E:E=A2))&amp;""]"")"),"""formula"":null")</f>
        <v>"formula":null</v>
      </c>
      <c r="E13" s="0" t="n">
        <f aca="false">IFERROR(__xludf.dummyfunction("""COMPUTED_VALUE"""),1211)</f>
        <v>1211</v>
      </c>
      <c r="F13" s="0" t="n">
        <f aca="false">IFERROR(__xludf.dummyfunction("""COMPUTED_VALUE"""),1111)</f>
        <v>1111</v>
      </c>
      <c r="G13" s="21" t="n">
        <f aca="false">IFERROR(__xludf.dummyfunction("""COMPUTED_VALUE"""),1)</f>
        <v>1</v>
      </c>
      <c r="H13" s="0" t="str">
        <f aca="false">"{""sku"":"""&amp;F13&amp;""",""req"":"&amp;G13&amp;"}"</f>
        <v>{"sku":"1111","req":1}</v>
      </c>
    </row>
    <row r="14" customFormat="false" ht="15.75" hidden="false" customHeight="true" outlineLevel="0" collapsed="false">
      <c r="A14" s="0" t="n">
        <f aca="false">IFERROR(__xludf.dummyfunction("""COMPUTED_VALUE"""),1013)</f>
        <v>1013</v>
      </c>
      <c r="B14" s="0" t="n">
        <f aca="false">IFERROR(__xludf.dummyfunction("""COMPUTED_VALUE"""),0)</f>
        <v>0</v>
      </c>
      <c r="C14" s="0" t="str">
        <f aca="false">IFERROR(__xludf.dummyfunction("if(B2=0,""""""formula"""":null"",""""""formula"""":[""&amp;JOIN("","",FILTER(H:H,E:E=A2))&amp;""]"")"),"""formula"":null")</f>
        <v>"formula":null</v>
      </c>
      <c r="E14" s="0" t="n">
        <f aca="false">IFERROR(__xludf.dummyfunction("""COMPUTED_VALUE"""),1112)</f>
        <v>1112</v>
      </c>
      <c r="F14" s="0" t="n">
        <f aca="false">IFERROR(__xludf.dummyfunction("""COMPUTED_VALUE"""),1012)</f>
        <v>1012</v>
      </c>
      <c r="G14" s="21" t="n">
        <f aca="false">IFERROR(__xludf.dummyfunction("""COMPUTED_VALUE"""),1)</f>
        <v>1</v>
      </c>
      <c r="H14" s="0" t="str">
        <f aca="false">"{""sku"":"""&amp;F14&amp;""",""req"":"&amp;G14&amp;"}"</f>
        <v>{"sku":"1012","req":1}</v>
      </c>
    </row>
    <row r="15" customFormat="false" ht="15.75" hidden="false" customHeight="true" outlineLevel="0" collapsed="false">
      <c r="A15" s="0" t="n">
        <f aca="false">IFERROR(__xludf.dummyfunction("""COMPUTED_VALUE"""),1014)</f>
        <v>1014</v>
      </c>
      <c r="B15" s="0" t="n">
        <f aca="false">IFERROR(__xludf.dummyfunction("""COMPUTED_VALUE"""),0)</f>
        <v>0</v>
      </c>
      <c r="C15" s="0" t="str">
        <f aca="false">IFERROR(__xludf.dummyfunction("if(B2=0,""""""formula"""":null"",""""""formula"""":[""&amp;JOIN("","",FILTER(H:H,E:E=A2))&amp;""]"")"),"""formula"":null")</f>
        <v>"formula":null</v>
      </c>
      <c r="E15" s="0" t="n">
        <f aca="false">IFERROR(__xludf.dummyfunction("""COMPUTED_VALUE"""),1114)</f>
        <v>1114</v>
      </c>
      <c r="F15" s="0" t="n">
        <f aca="false">IFERROR(__xludf.dummyfunction("""COMPUTED_VALUE"""),1014)</f>
        <v>1014</v>
      </c>
      <c r="G15" s="21" t="n">
        <f aca="false">IFERROR(__xludf.dummyfunction("""COMPUTED_VALUE"""),1)</f>
        <v>1</v>
      </c>
      <c r="H15" s="0" t="str">
        <f aca="false">"{""sku"":"""&amp;F15&amp;""",""req"":"&amp;G15&amp;"}"</f>
        <v>{"sku":"1014","req":1}</v>
      </c>
    </row>
    <row r="16" customFormat="false" ht="15.75" hidden="false" customHeight="true" outlineLevel="0" collapsed="false">
      <c r="A16" s="0" t="n">
        <f aca="false">IFERROR(__xludf.dummyfunction("""COMPUTED_VALUE"""),1015)</f>
        <v>1015</v>
      </c>
      <c r="B16" s="0" t="n">
        <f aca="false">IFERROR(__xludf.dummyfunction("""COMPUTED_VALUE"""),0)</f>
        <v>0</v>
      </c>
      <c r="C16" s="0" t="str">
        <f aca="false">IFERROR(__xludf.dummyfunction("if(B2=0,""""""formula"""":null"",""""""formula"""":[""&amp;JOIN("","",FILTER(H:H,E:E=A2))&amp;""]"")"),"""formula"":null")</f>
        <v>"formula":null</v>
      </c>
      <c r="E16" s="0" t="n">
        <f aca="false">IFERROR(__xludf.dummyfunction("""COMPUTED_VALUE"""),1115)</f>
        <v>1115</v>
      </c>
      <c r="F16" s="0" t="n">
        <f aca="false">IFERROR(__xludf.dummyfunction("""COMPUTED_VALUE"""),1015)</f>
        <v>1015</v>
      </c>
      <c r="G16" s="21" t="n">
        <f aca="false">IFERROR(__xludf.dummyfunction("""COMPUTED_VALUE"""),2)</f>
        <v>2</v>
      </c>
      <c r="H16" s="0" t="str">
        <f aca="false">"{""sku"":"""&amp;F16&amp;""",""req"":"&amp;G16&amp;"}"</f>
        <v>{"sku":"1015","req":2}</v>
      </c>
    </row>
    <row r="17" customFormat="false" ht="15.75" hidden="false" customHeight="true" outlineLevel="0" collapsed="false">
      <c r="A17" s="0" t="n">
        <f aca="false">IFERROR(__xludf.dummyfunction("""COMPUTED_VALUE"""),1016)</f>
        <v>1016</v>
      </c>
      <c r="B17" s="0" t="n">
        <f aca="false">IFERROR(__xludf.dummyfunction("""COMPUTED_VALUE"""),0)</f>
        <v>0</v>
      </c>
      <c r="C17" s="0" t="str">
        <f aca="false">IFERROR(__xludf.dummyfunction("if(B2=0,""""""formula"""":null"",""""""formula"""":[""&amp;JOIN("","",FILTER(H:H,E:E=A2))&amp;""]"")"),"""formula"":null")</f>
        <v>"formula":null</v>
      </c>
      <c r="E17" s="0" t="n">
        <f aca="false">IFERROR(__xludf.dummyfunction("""COMPUTED_VALUE"""),1116)</f>
        <v>1116</v>
      </c>
      <c r="F17" s="0" t="n">
        <f aca="false">IFERROR(__xludf.dummyfunction("""COMPUTED_VALUE"""),1016)</f>
        <v>1016</v>
      </c>
      <c r="G17" s="21" t="n">
        <f aca="false">IFERROR(__xludf.dummyfunction("""COMPUTED_VALUE"""),11)</f>
        <v>11</v>
      </c>
      <c r="H17" s="0" t="str">
        <f aca="false">"{""sku"":"""&amp;F17&amp;""",""req"":"&amp;G17&amp;"}"</f>
        <v>{"sku":"1016","req":11}</v>
      </c>
    </row>
    <row r="18" customFormat="false" ht="15.75" hidden="false" customHeight="true" outlineLevel="0" collapsed="false">
      <c r="A18" s="0" t="n">
        <f aca="false">IFERROR(__xludf.dummyfunction("""COMPUTED_VALUE"""),1101)</f>
        <v>1101</v>
      </c>
      <c r="B18" s="0" t="n">
        <f aca="false">IFERROR(__xludf.dummyfunction("""COMPUTED_VALUE"""),4)</f>
        <v>4</v>
      </c>
      <c r="C18" s="0" t="str">
        <f aca="false">IFERROR(__xludf.dummyfunction("if(B2=0,""""""formula"""":null"",""""""formula"""":[""&amp;JOIN("","",FILTER(H:H,E:E=A2))&amp;""]"")"),"""formula"":null")</f>
        <v>"formula":null</v>
      </c>
      <c r="E18" s="0" t="n">
        <f aca="false">IFERROR(__xludf.dummyfunction("""COMPUTED_VALUE"""),1201)</f>
        <v>1201</v>
      </c>
      <c r="F18" s="0" t="n">
        <f aca="false">IFERROR(__xludf.dummyfunction("""COMPUTED_VALUE"""),1101)</f>
        <v>1101</v>
      </c>
      <c r="G18" s="21" t="n">
        <f aca="false">IFERROR(__xludf.dummyfunction("""COMPUTED_VALUE"""),1)</f>
        <v>1</v>
      </c>
      <c r="H18" s="0" t="str">
        <f aca="false">"{""sku"":"""&amp;F18&amp;""",""req"":"&amp;G18&amp;"}"</f>
        <v>{"sku":"1101","req":1}</v>
      </c>
    </row>
    <row r="19" customFormat="false" ht="15.75" hidden="false" customHeight="true" outlineLevel="0" collapsed="false">
      <c r="A19" s="0" t="n">
        <f aca="false">IFERROR(__xludf.dummyfunction("""COMPUTED_VALUE"""),1105)</f>
        <v>1105</v>
      </c>
      <c r="B19" s="0" t="n">
        <f aca="false">IFERROR(__xludf.dummyfunction("""COMPUTED_VALUE"""),1)</f>
        <v>1</v>
      </c>
      <c r="C19" s="0" t="str">
        <f aca="false">IFERROR(__xludf.dummyfunction("if(B2=0,""""""formula"""":null"",""""""formula"""":[""&amp;JOIN("","",FILTER(H:H,E:E=A2))&amp;""]"")"),"""formula"":null")</f>
        <v>"formula":null</v>
      </c>
      <c r="E19" s="0" t="n">
        <f aca="false">IFERROR(__xludf.dummyfunction("""COMPUTED_VALUE"""),1207)</f>
        <v>1207</v>
      </c>
      <c r="F19" s="0" t="n">
        <f aca="false">IFERROR(__xludf.dummyfunction("""COMPUTED_VALUE"""),1007)</f>
        <v>1007</v>
      </c>
      <c r="G19" s="21" t="n">
        <f aca="false">IFERROR(__xludf.dummyfunction("""COMPUTED_VALUE"""),1)</f>
        <v>1</v>
      </c>
      <c r="H19" s="0" t="str">
        <f aca="false">"{""sku"":"""&amp;F19&amp;""",""req"":"&amp;G19&amp;"}"</f>
        <v>{"sku":"1007","req":1}</v>
      </c>
    </row>
    <row r="20" customFormat="false" ht="15.75" hidden="false" customHeight="true" outlineLevel="0" collapsed="false">
      <c r="A20" s="0" t="n">
        <f aca="false">IFERROR(__xludf.dummyfunction("""COMPUTED_VALUE"""),1106)</f>
        <v>1106</v>
      </c>
      <c r="B20" s="0" t="n">
        <f aca="false">IFERROR(__xludf.dummyfunction("""COMPUTED_VALUE"""),1)</f>
        <v>1</v>
      </c>
      <c r="C20" s="0" t="str">
        <f aca="false">IFERROR(__xludf.dummyfunction("if(B2=0,""""""formula"""":null"",""""""formula"""":[""&amp;JOIN("","",FILTER(H:H,E:E=A2))&amp;""]"")"),"""formula"":null")</f>
        <v>"formula":null</v>
      </c>
      <c r="E20" s="0" t="n">
        <f aca="false">IFERROR(__xludf.dummyfunction("""COMPUTED_VALUE"""),1209)</f>
        <v>1209</v>
      </c>
      <c r="F20" s="0" t="n">
        <f aca="false">IFERROR(__xludf.dummyfunction("""COMPUTED_VALUE"""),1009)</f>
        <v>1009</v>
      </c>
      <c r="G20" s="21" t="n">
        <f aca="false">IFERROR(__xludf.dummyfunction("""COMPUTED_VALUE"""),1)</f>
        <v>1</v>
      </c>
      <c r="H20" s="0" t="str">
        <f aca="false">"{""sku"":"""&amp;F20&amp;""",""req"":"&amp;G20&amp;"}"</f>
        <v>{"sku":"1009","req":1}</v>
      </c>
    </row>
    <row r="21" customFormat="false" ht="15.75" hidden="false" customHeight="true" outlineLevel="0" collapsed="false">
      <c r="A21" s="0" t="n">
        <f aca="false">IFERROR(__xludf.dummyfunction("""COMPUTED_VALUE"""),1107)</f>
        <v>1107</v>
      </c>
      <c r="B21" s="0" t="n">
        <f aca="false">IFERROR(__xludf.dummyfunction("""COMPUTED_VALUE"""),1)</f>
        <v>1</v>
      </c>
      <c r="C21" s="0" t="str">
        <f aca="false">IFERROR(__xludf.dummyfunction("if(B2=0,""""""formula"""":null"",""""""formula"""":[""&amp;JOIN("","",FILTER(H:H,E:E=A2))&amp;""]"")"),"""formula"":null")</f>
        <v>"formula":null</v>
      </c>
      <c r="E21" s="0" t="n">
        <f aca="false">IFERROR(__xludf.dummyfunction("""COMPUTED_VALUE"""),1210)</f>
        <v>1210</v>
      </c>
      <c r="F21" s="0" t="n">
        <f aca="false">IFERROR(__xludf.dummyfunction("""COMPUTED_VALUE"""),1010)</f>
        <v>1010</v>
      </c>
      <c r="G21" s="21" t="n">
        <f aca="false">IFERROR(__xludf.dummyfunction("""COMPUTED_VALUE"""),1)</f>
        <v>1</v>
      </c>
      <c r="H21" s="0" t="str">
        <f aca="false">"{""sku"":"""&amp;F21&amp;""",""req"":"&amp;G21&amp;"}"</f>
        <v>{"sku":"1010","req":1}</v>
      </c>
    </row>
    <row r="22" customFormat="false" ht="15.75" hidden="false" customHeight="true" outlineLevel="0" collapsed="false">
      <c r="A22" s="0" t="n">
        <f aca="false">IFERROR(__xludf.dummyfunction("""COMPUTED_VALUE"""),1108)</f>
        <v>1108</v>
      </c>
      <c r="B22" s="0" t="n">
        <f aca="false">IFERROR(__xludf.dummyfunction("""COMPUTED_VALUE"""),1)</f>
        <v>1</v>
      </c>
      <c r="C22" s="0" t="str">
        <f aca="false">IFERROR(__xludf.dummyfunction("if(B2=0,""""""formula"""":null"",""""""formula"""":[""&amp;JOIN("","",FILTER(H:H,E:E=A2))&amp;""]"")"),"""formula"":null")</f>
        <v>"formula":null</v>
      </c>
      <c r="E22" s="0" t="n">
        <f aca="false">IFERROR(__xludf.dummyfunction("""COMPUTED_VALUE"""),1215)</f>
        <v>1215</v>
      </c>
      <c r="F22" s="0" t="n">
        <f aca="false">IFERROR(__xludf.dummyfunction("""COMPUTED_VALUE"""),1015)</f>
        <v>1015</v>
      </c>
      <c r="G22" s="21" t="n">
        <f aca="false">IFERROR(__xludf.dummyfunction("""COMPUTED_VALUE"""),4)</f>
        <v>4</v>
      </c>
      <c r="H22" s="0" t="str">
        <f aca="false">"{""sku"":"""&amp;F22&amp;""",""req"":"&amp;G22&amp;"}"</f>
        <v>{"sku":"1015","req":4}</v>
      </c>
    </row>
    <row r="23" customFormat="false" ht="15.75" hidden="false" customHeight="true" outlineLevel="0" collapsed="false">
      <c r="A23" s="0" t="n">
        <f aca="false">IFERROR(__xludf.dummyfunction("""COMPUTED_VALUE"""),1109)</f>
        <v>1109</v>
      </c>
      <c r="B23" s="0" t="n">
        <f aca="false">IFERROR(__xludf.dummyfunction("""COMPUTED_VALUE"""),1)</f>
        <v>1</v>
      </c>
      <c r="C23" s="0" t="str">
        <f aca="false">IFERROR(__xludf.dummyfunction("if(B2=0,""""""formula"""":null"",""""""formula"""":[""&amp;JOIN("","",FILTER(H:H,E:E=A2))&amp;""]"")"),"""formula"":null")</f>
        <v>"formula":null</v>
      </c>
      <c r="E23" s="0" t="n">
        <f aca="false">IFERROR(__xludf.dummyfunction("""COMPUTED_VALUE"""),1216)</f>
        <v>1216</v>
      </c>
      <c r="F23" s="0" t="n">
        <f aca="false">IFERROR(__xludf.dummyfunction("""COMPUTED_VALUE"""),1016)</f>
        <v>1016</v>
      </c>
      <c r="G23" s="21" t="n">
        <f aca="false">IFERROR(__xludf.dummyfunction("""COMPUTED_VALUE"""),2)</f>
        <v>2</v>
      </c>
      <c r="H23" s="0" t="str">
        <f aca="false">"{""sku"":"""&amp;F23&amp;""",""req"":"&amp;G23&amp;"}"</f>
        <v>{"sku":"1016","req":2}</v>
      </c>
    </row>
    <row r="24" customFormat="false" ht="15.75" hidden="false" customHeight="true" outlineLevel="0" collapsed="false">
      <c r="A24" s="0" t="n">
        <f aca="false">IFERROR(__xludf.dummyfunction("""COMPUTED_VALUE"""),1110)</f>
        <v>1110</v>
      </c>
      <c r="B24" s="0" t="n">
        <f aca="false">IFERROR(__xludf.dummyfunction("""COMPUTED_VALUE"""),1)</f>
        <v>1</v>
      </c>
      <c r="C24" s="0" t="str">
        <f aca="false">IFERROR(__xludf.dummyfunction("if(B2=0,""""""formula"""":null"",""""""formula"""":[""&amp;JOIN("","",FILTER(H:H,E:E=A2))&amp;""]"")"),"""formula"":null")</f>
        <v>"formula":null</v>
      </c>
      <c r="E24" s="0" t="n">
        <f aca="false">IFERROR(__xludf.dummyfunction("""COMPUTED_VALUE"""),1301)</f>
        <v>1301</v>
      </c>
      <c r="F24" s="0" t="n">
        <f aca="false">IFERROR(__xludf.dummyfunction("""COMPUTED_VALUE"""),1101)</f>
        <v>1101</v>
      </c>
      <c r="G24" s="21" t="n">
        <f aca="false">IFERROR(__xludf.dummyfunction("""COMPUTED_VALUE"""),1)</f>
        <v>1</v>
      </c>
      <c r="H24" s="0" t="str">
        <f aca="false">"{""sku"":"""&amp;F24&amp;""",""req"":"&amp;G24&amp;"}"</f>
        <v>{"sku":"1101","req":1}</v>
      </c>
    </row>
    <row r="25" customFormat="false" ht="15.75" hidden="false" customHeight="true" outlineLevel="0" collapsed="false">
      <c r="A25" s="0" t="n">
        <f aca="false">IFERROR(__xludf.dummyfunction("""COMPUTED_VALUE"""),1111)</f>
        <v>1111</v>
      </c>
      <c r="B25" s="0" t="n">
        <f aca="false">IFERROR(__xludf.dummyfunction("""COMPUTED_VALUE"""),1)</f>
        <v>1</v>
      </c>
      <c r="C25" s="0" t="str">
        <f aca="false">IFERROR(__xludf.dummyfunction("if(B2=0,""""""formula"""":null"",""""""formula"""":[""&amp;JOIN("","",FILTER(H:H,E:E=A2))&amp;""]"")"),"""formula"":null")</f>
        <v>"formula":null</v>
      </c>
      <c r="E25" s="0" t="n">
        <f aca="false">IFERROR(__xludf.dummyfunction("""COMPUTED_VALUE"""),1307)</f>
        <v>1307</v>
      </c>
      <c r="F25" s="0" t="n">
        <f aca="false">IFERROR(__xludf.dummyfunction("""COMPUTED_VALUE"""),1007)</f>
        <v>1007</v>
      </c>
      <c r="G25" s="21" t="n">
        <f aca="false">IFERROR(__xludf.dummyfunction("""COMPUTED_VALUE"""),1)</f>
        <v>1</v>
      </c>
      <c r="H25" s="0" t="str">
        <f aca="false">"{""sku"":"""&amp;F25&amp;""",""req"":"&amp;G25&amp;"}"</f>
        <v>{"sku":"1007","req":1}</v>
      </c>
    </row>
    <row r="26" customFormat="false" ht="15.75" hidden="false" customHeight="true" outlineLevel="0" collapsed="false">
      <c r="A26" s="0" t="n">
        <f aca="false">IFERROR(__xludf.dummyfunction("""COMPUTED_VALUE"""),1112)</f>
        <v>1112</v>
      </c>
      <c r="B26" s="0" t="n">
        <f aca="false">IFERROR(__xludf.dummyfunction("""COMPUTED_VALUE"""),1)</f>
        <v>1</v>
      </c>
      <c r="C26" s="0" t="str">
        <f aca="false">IFERROR(__xludf.dummyfunction("if(B2=0,""""""formula"""":null"",""""""formula"""":[""&amp;JOIN("","",FILTER(H:H,E:E=A2))&amp;""]"")"),"""formula"":null")</f>
        <v>"formula":null</v>
      </c>
      <c r="E26" s="0" t="n">
        <f aca="false">IFERROR(__xludf.dummyfunction("""COMPUTED_VALUE"""),1309)</f>
        <v>1309</v>
      </c>
      <c r="F26" s="0" t="n">
        <f aca="false">IFERROR(__xludf.dummyfunction("""COMPUTED_VALUE"""),1009)</f>
        <v>1009</v>
      </c>
      <c r="G26" s="21" t="n">
        <f aca="false">IFERROR(__xludf.dummyfunction("""COMPUTED_VALUE"""),1)</f>
        <v>1</v>
      </c>
      <c r="H26" s="0" t="str">
        <f aca="false">"{""sku"":"""&amp;F26&amp;""",""req"":"&amp;G26&amp;"}"</f>
        <v>{"sku":"1009","req":1}</v>
      </c>
    </row>
    <row r="27" customFormat="false" ht="15.75" hidden="false" customHeight="true" outlineLevel="0" collapsed="false">
      <c r="A27" s="0" t="n">
        <f aca="false">IFERROR(__xludf.dummyfunction("""COMPUTED_VALUE"""),1114)</f>
        <v>1114</v>
      </c>
      <c r="B27" s="0" t="n">
        <f aca="false">IFERROR(__xludf.dummyfunction("""COMPUTED_VALUE"""),1)</f>
        <v>1</v>
      </c>
      <c r="C27" s="0" t="str">
        <f aca="false">IFERROR(__xludf.dummyfunction("if(B2=0,""""""formula"""":null"",""""""formula"""":[""&amp;JOIN("","",FILTER(H:H,E:E=A2))&amp;""]"")"),"""formula"":null")</f>
        <v>"formula":null</v>
      </c>
      <c r="E27" s="0" t="n">
        <f aca="false">IFERROR(__xludf.dummyfunction("""COMPUTED_VALUE"""),1310)</f>
        <v>1310</v>
      </c>
      <c r="F27" s="0" t="n">
        <f aca="false">IFERROR(__xludf.dummyfunction("""COMPUTED_VALUE"""),1010)</f>
        <v>1010</v>
      </c>
      <c r="G27" s="21" t="n">
        <f aca="false">IFERROR(__xludf.dummyfunction("""COMPUTED_VALUE"""),1)</f>
        <v>1</v>
      </c>
      <c r="H27" s="0" t="str">
        <f aca="false">"{""sku"":"""&amp;F27&amp;""",""req"":"&amp;G27&amp;"}"</f>
        <v>{"sku":"1010","req":1}</v>
      </c>
    </row>
    <row r="28" customFormat="false" ht="15.75" hidden="false" customHeight="true" outlineLevel="0" collapsed="false">
      <c r="A28" s="0" t="n">
        <f aca="false">IFERROR(__xludf.dummyfunction("""COMPUTED_VALUE"""),1115)</f>
        <v>1115</v>
      </c>
      <c r="B28" s="0" t="n">
        <f aca="false">IFERROR(__xludf.dummyfunction("""COMPUTED_VALUE"""),1)</f>
        <v>1</v>
      </c>
      <c r="C28" s="0" t="str">
        <f aca="false">IFERROR(__xludf.dummyfunction("if(B2=0,""""""formula"""":null"",""""""formula"""":[""&amp;JOIN("","",FILTER(H:H,E:E=A2))&amp;""]"")"),"""formula"":null")</f>
        <v>"formula":null</v>
      </c>
      <c r="E28" s="0" t="n">
        <f aca="false">IFERROR(__xludf.dummyfunction("""COMPUTED_VALUE"""),1407)</f>
        <v>1407</v>
      </c>
      <c r="F28" s="0" t="n">
        <f aca="false">IFERROR(__xludf.dummyfunction("""COMPUTED_VALUE"""),1007)</f>
        <v>1007</v>
      </c>
      <c r="G28" s="21" t="n">
        <f aca="false">IFERROR(__xludf.dummyfunction("""COMPUTED_VALUE"""),1)</f>
        <v>1</v>
      </c>
      <c r="H28" s="0" t="str">
        <f aca="false">"{""sku"":"""&amp;F28&amp;""",""req"":"&amp;G28&amp;"}"</f>
        <v>{"sku":"1007","req":1}</v>
      </c>
    </row>
    <row r="29" customFormat="false" ht="15.75" hidden="false" customHeight="true" outlineLevel="0" collapsed="false">
      <c r="A29" s="0" t="n">
        <f aca="false">IFERROR(__xludf.dummyfunction("""COMPUTED_VALUE"""),1116)</f>
        <v>1116</v>
      </c>
      <c r="B29" s="0" t="n">
        <f aca="false">IFERROR(__xludf.dummyfunction("""COMPUTED_VALUE"""),1)</f>
        <v>1</v>
      </c>
      <c r="C29" s="0" t="str">
        <f aca="false">IFERROR(__xludf.dummyfunction("if(B2=0,""""""formula"""":null"",""""""formula"""":[""&amp;JOIN("","",FILTER(H:H,E:E=A2))&amp;""]"")"),"""formula"":null")</f>
        <v>"formula":null</v>
      </c>
      <c r="E29" s="0" t="n">
        <f aca="false">IFERROR(__xludf.dummyfunction("""COMPUTED_VALUE"""),10001)</f>
        <v>10001</v>
      </c>
      <c r="F29" s="0" t="n">
        <f aca="false">IFERROR(__xludf.dummyfunction("""COMPUTED_VALUE"""),1201)</f>
        <v>1201</v>
      </c>
      <c r="G29" s="21" t="n">
        <f aca="false">IFERROR(__xludf.dummyfunction("""COMPUTED_VALUE"""),1)</f>
        <v>1</v>
      </c>
      <c r="H29" s="0" t="str">
        <f aca="false">"{""sku"":"""&amp;F29&amp;""",""req"":"&amp;G29&amp;"}"</f>
        <v>{"sku":"1201","req":1}</v>
      </c>
    </row>
    <row r="30" customFormat="false" ht="15.75" hidden="false" customHeight="true" outlineLevel="0" collapsed="false">
      <c r="A30" s="0" t="n">
        <f aca="false">IFERROR(__xludf.dummyfunction("""COMPUTED_VALUE"""),1201)</f>
        <v>1201</v>
      </c>
      <c r="B30" s="0" t="n">
        <f aca="false">IFERROR(__xludf.dummyfunction("""COMPUTED_VALUE"""),1)</f>
        <v>1</v>
      </c>
      <c r="C30" s="0" t="str">
        <f aca="false">IFERROR(__xludf.dummyfunction("if(B2=0,""""""formula"""":null"",""""""formula"""":[""&amp;JOIN("","",FILTER(H:H,E:E=A2))&amp;""]"")"),"""formula"":null")</f>
        <v>"formula":null</v>
      </c>
      <c r="E30" s="0" t="n">
        <f aca="false">IFERROR(__xludf.dummyfunction("""COMPUTED_VALUE"""),10001)</f>
        <v>10001</v>
      </c>
      <c r="F30" s="0" t="n">
        <f aca="false">IFERROR(__xludf.dummyfunction("""COMPUTED_VALUE"""),1105)</f>
        <v>1105</v>
      </c>
      <c r="G30" s="21" t="n">
        <f aca="false">IFERROR(__xludf.dummyfunction("""COMPUTED_VALUE"""),1)</f>
        <v>1</v>
      </c>
      <c r="H30" s="0" t="str">
        <f aca="false">"{""sku"":"""&amp;F30&amp;""",""req"":"&amp;G30&amp;"}"</f>
        <v>{"sku":"1105","req":1}</v>
      </c>
    </row>
    <row r="31" customFormat="false" ht="15.75" hidden="false" customHeight="true" outlineLevel="0" collapsed="false">
      <c r="A31" s="0" t="n">
        <f aca="false">IFERROR(__xludf.dummyfunction("""COMPUTED_VALUE"""),1207)</f>
        <v>1207</v>
      </c>
      <c r="B31" s="0" t="n">
        <f aca="false">IFERROR(__xludf.dummyfunction("""COMPUTED_VALUE"""),1)</f>
        <v>1</v>
      </c>
      <c r="C31" s="0" t="str">
        <f aca="false">IFERROR(__xludf.dummyfunction("if(B2=0,""""""formula"""":null"",""""""formula"""":[""&amp;JOIN("","",FILTER(H:H,E:E=A2))&amp;""]"")"),"""formula"":null")</f>
        <v>"formula":null</v>
      </c>
      <c r="E31" s="0" t="n">
        <f aca="false">IFERROR(__xludf.dummyfunction("""COMPUTED_VALUE"""),10001)</f>
        <v>10001</v>
      </c>
      <c r="F31" s="0" t="n">
        <f aca="false">IFERROR(__xludf.dummyfunction("""COMPUTED_VALUE"""),1210)</f>
        <v>1210</v>
      </c>
      <c r="G31" s="21" t="n">
        <f aca="false">IFERROR(__xludf.dummyfunction("""COMPUTED_VALUE"""),1)</f>
        <v>1</v>
      </c>
      <c r="H31" s="0" t="str">
        <f aca="false">"{""sku"":"""&amp;F31&amp;""",""req"":"&amp;G31&amp;"}"</f>
        <v>{"sku":"1210","req":1}</v>
      </c>
    </row>
    <row r="32" customFormat="false" ht="15.75" hidden="false" customHeight="true" outlineLevel="0" collapsed="false">
      <c r="A32" s="0" t="n">
        <f aca="false">IFERROR(__xludf.dummyfunction("""COMPUTED_VALUE"""),1209)</f>
        <v>1209</v>
      </c>
      <c r="B32" s="0" t="n">
        <f aca="false">IFERROR(__xludf.dummyfunction("""COMPUTED_VALUE"""),1)</f>
        <v>1</v>
      </c>
      <c r="C32" s="0" t="str">
        <f aca="false">IFERROR(__xludf.dummyfunction("if(B2=0,""""""formula"""":null"",""""""formula"""":[""&amp;JOIN("","",FILTER(H:H,E:E=A2))&amp;""]"")"),"""formula"":null")</f>
        <v>"formula":null</v>
      </c>
      <c r="E32" s="0" t="n">
        <f aca="false">IFERROR(__xludf.dummyfunction("""COMPUTED_VALUE"""),10001)</f>
        <v>10001</v>
      </c>
      <c r="F32" s="0" t="n">
        <f aca="false">IFERROR(__xludf.dummyfunction("""COMPUTED_VALUE"""),1211)</f>
        <v>1211</v>
      </c>
      <c r="G32" s="21" t="n">
        <f aca="false">IFERROR(__xludf.dummyfunction("""COMPUTED_VALUE"""),1)</f>
        <v>1</v>
      </c>
      <c r="H32" s="0" t="str">
        <f aca="false">"{""sku"":"""&amp;F32&amp;""",""req"":"&amp;G32&amp;"}"</f>
        <v>{"sku":"1211","req":1}</v>
      </c>
    </row>
    <row r="33" customFormat="false" ht="15.75" hidden="false" customHeight="true" outlineLevel="0" collapsed="false">
      <c r="A33" s="0" t="n">
        <f aca="false">IFERROR(__xludf.dummyfunction("""COMPUTED_VALUE"""),1210)</f>
        <v>1210</v>
      </c>
      <c r="B33" s="0" t="n">
        <f aca="false">IFERROR(__xludf.dummyfunction("""COMPUTED_VALUE"""),1)</f>
        <v>1</v>
      </c>
      <c r="C33" s="0" t="str">
        <f aca="false">IFERROR(__xludf.dummyfunction("if(B2=0,""""""formula"""":null"",""""""formula"""":[""&amp;JOIN("","",FILTER(H:H,E:E=A2))&amp;""]"")"),"""formula"":null")</f>
        <v>"formula":null</v>
      </c>
      <c r="E33" s="0" t="n">
        <f aca="false">IFERROR(__xludf.dummyfunction("""COMPUTED_VALUE"""),10001)</f>
        <v>10001</v>
      </c>
      <c r="F33" s="0" t="n">
        <f aca="false">IFERROR(__xludf.dummyfunction("""COMPUTED_VALUE"""),1116)</f>
        <v>1116</v>
      </c>
      <c r="G33" s="21" t="n">
        <f aca="false">IFERROR(__xludf.dummyfunction("""COMPUTED_VALUE"""),1)</f>
        <v>1</v>
      </c>
      <c r="H33" s="0" t="str">
        <f aca="false">"{""sku"":"""&amp;F33&amp;""",""req"":"&amp;G33&amp;"}"</f>
        <v>{"sku":"1116","req":1}</v>
      </c>
    </row>
    <row r="34" customFormat="false" ht="15.75" hidden="false" customHeight="true" outlineLevel="0" collapsed="false">
      <c r="A34" s="0" t="n">
        <f aca="false">IFERROR(__xludf.dummyfunction("""COMPUTED_VALUE"""),1211)</f>
        <v>1211</v>
      </c>
      <c r="B34" s="0" t="n">
        <f aca="false">IFERROR(__xludf.dummyfunction("""COMPUTED_VALUE"""),1)</f>
        <v>1</v>
      </c>
      <c r="C34" s="0" t="str">
        <f aca="false">IFERROR(__xludf.dummyfunction("if(B2=0,""""""formula"""":null"",""""""formula"""":[""&amp;JOIN("","",FILTER(H:H,E:E=A2))&amp;""]"")"),"""formula"":null")</f>
        <v>"formula":null</v>
      </c>
      <c r="E34" s="0" t="n">
        <f aca="false">IFERROR(__xludf.dummyfunction("""COMPUTED_VALUE"""),10002)</f>
        <v>10002</v>
      </c>
      <c r="F34" s="0" t="n">
        <f aca="false">IFERROR(__xludf.dummyfunction("""COMPUTED_VALUE"""),1201)</f>
        <v>1201</v>
      </c>
      <c r="G34" s="21" t="n">
        <f aca="false">IFERROR(__xludf.dummyfunction("""COMPUTED_VALUE"""),1)</f>
        <v>1</v>
      </c>
      <c r="H34" s="0" t="str">
        <f aca="false">"{""sku"":"""&amp;F34&amp;""",""req"":"&amp;G34&amp;"}"</f>
        <v>{"sku":"1201","req":1}</v>
      </c>
    </row>
    <row r="35" customFormat="false" ht="15.75" hidden="false" customHeight="true" outlineLevel="0" collapsed="false">
      <c r="A35" s="0" t="n">
        <f aca="false">IFERROR(__xludf.dummyfunction("""COMPUTED_VALUE"""),1215)</f>
        <v>1215</v>
      </c>
      <c r="B35" s="0" t="n">
        <f aca="false">IFERROR(__xludf.dummyfunction("""COMPUTED_VALUE"""),1)</f>
        <v>1</v>
      </c>
      <c r="C35" s="0" t="str">
        <f aca="false">IFERROR(__xludf.dummyfunction("if(B2=0,""""""formula"""":null"",""""""formula"""":[""&amp;JOIN("","",FILTER(H:H,E:E=A2))&amp;""]"")"),"""formula"":null")</f>
        <v>"formula":null</v>
      </c>
      <c r="E35" s="0" t="n">
        <f aca="false">IFERROR(__xludf.dummyfunction("""COMPUTED_VALUE"""),10002)</f>
        <v>10002</v>
      </c>
      <c r="F35" s="0" t="n">
        <f aca="false">IFERROR(__xludf.dummyfunction("""COMPUTED_VALUE"""),1105)</f>
        <v>1105</v>
      </c>
      <c r="G35" s="21" t="n">
        <f aca="false">IFERROR(__xludf.dummyfunction("""COMPUTED_VALUE"""),1)</f>
        <v>1</v>
      </c>
      <c r="H35" s="0" t="str">
        <f aca="false">"{""sku"":"""&amp;F35&amp;""",""req"":"&amp;G35&amp;"}"</f>
        <v>{"sku":"1105","req":1}</v>
      </c>
    </row>
    <row r="36" customFormat="false" ht="15.75" hidden="false" customHeight="true" outlineLevel="0" collapsed="false">
      <c r="A36" s="0" t="n">
        <f aca="false">IFERROR(__xludf.dummyfunction("""COMPUTED_VALUE"""),1216)</f>
        <v>1216</v>
      </c>
      <c r="B36" s="0" t="n">
        <f aca="false">IFERROR(__xludf.dummyfunction("""COMPUTED_VALUE"""),1)</f>
        <v>1</v>
      </c>
      <c r="C36" s="0" t="str">
        <f aca="false">IFERROR(__xludf.dummyfunction("if(B2=0,""""""formula"""":null"",""""""formula"""":[""&amp;JOIN("","",FILTER(H:H,E:E=A2))&amp;""]"")"),"""formula"":null")</f>
        <v>"formula":null</v>
      </c>
      <c r="E36" s="0" t="n">
        <f aca="false">IFERROR(__xludf.dummyfunction("""COMPUTED_VALUE"""),10002)</f>
        <v>10002</v>
      </c>
      <c r="F36" s="0" t="n">
        <f aca="false">IFERROR(__xludf.dummyfunction("""COMPUTED_VALUE"""),1013)</f>
        <v>1013</v>
      </c>
      <c r="G36" s="21" t="n">
        <f aca="false">IFERROR(__xludf.dummyfunction("""COMPUTED_VALUE"""),5)</f>
        <v>5</v>
      </c>
      <c r="H36" s="0" t="str">
        <f aca="false">"{""sku"":"""&amp;F36&amp;""",""req"":"&amp;G36&amp;"}"</f>
        <v>{"sku":"1013","req":5}</v>
      </c>
    </row>
    <row r="37" customFormat="false" ht="15.75" hidden="false" customHeight="true" outlineLevel="0" collapsed="false">
      <c r="A37" s="0" t="n">
        <f aca="false">IFERROR(__xludf.dummyfunction("""COMPUTED_VALUE"""),1301)</f>
        <v>1301</v>
      </c>
      <c r="B37" s="0" t="n">
        <f aca="false">IFERROR(__xludf.dummyfunction("""COMPUTED_VALUE"""),1)</f>
        <v>1</v>
      </c>
      <c r="C37" s="0" t="str">
        <f aca="false">IFERROR(__xludf.dummyfunction("if(B2=0,""""""formula"""":null"",""""""formula"""":[""&amp;JOIN("","",FILTER(H:H,E:E=A2))&amp;""]"")"),"""formula"":null")</f>
        <v>"formula":null</v>
      </c>
      <c r="E37" s="0" t="n">
        <f aca="false">IFERROR(__xludf.dummyfunction("""COMPUTED_VALUE"""),10002)</f>
        <v>10002</v>
      </c>
      <c r="F37" s="0" t="n">
        <f aca="false">IFERROR(__xludf.dummyfunction("""COMPUTED_VALUE"""),1210)</f>
        <v>1210</v>
      </c>
      <c r="G37" s="21" t="n">
        <f aca="false">IFERROR(__xludf.dummyfunction("""COMPUTED_VALUE"""),1)</f>
        <v>1</v>
      </c>
      <c r="H37" s="0" t="str">
        <f aca="false">"{""sku"":"""&amp;F37&amp;""",""req"":"&amp;G37&amp;"}"</f>
        <v>{"sku":"1210","req":1}</v>
      </c>
    </row>
    <row r="38" customFormat="false" ht="15.75" hidden="false" customHeight="true" outlineLevel="0" collapsed="false">
      <c r="A38" s="0" t="n">
        <f aca="false">IFERROR(__xludf.dummyfunction("""COMPUTED_VALUE"""),1307)</f>
        <v>1307</v>
      </c>
      <c r="B38" s="0" t="n">
        <f aca="false">IFERROR(__xludf.dummyfunction("""COMPUTED_VALUE"""),1)</f>
        <v>1</v>
      </c>
      <c r="C38" s="0" t="str">
        <f aca="false">IFERROR(__xludf.dummyfunction("if(B2=0,""""""formula"""":null"",""""""formula"""":[""&amp;JOIN("","",FILTER(H:H,E:E=A2))&amp;""]"")"),"""formula"":null")</f>
        <v>"formula":null</v>
      </c>
      <c r="E38" s="0" t="n">
        <f aca="false">IFERROR(__xludf.dummyfunction("""COMPUTED_VALUE"""),10002)</f>
        <v>10002</v>
      </c>
      <c r="F38" s="0" t="n">
        <f aca="false">IFERROR(__xludf.dummyfunction("""COMPUTED_VALUE"""),1116)</f>
        <v>1116</v>
      </c>
      <c r="G38" s="21" t="n">
        <f aca="false">IFERROR(__xludf.dummyfunction("""COMPUTED_VALUE"""),1)</f>
        <v>1</v>
      </c>
      <c r="H38" s="0" t="str">
        <f aca="false">"{""sku"":"""&amp;F38&amp;""",""req"":"&amp;G38&amp;"}"</f>
        <v>{"sku":"1116","req":1}</v>
      </c>
    </row>
    <row r="39" customFormat="false" ht="15.75" hidden="false" customHeight="true" outlineLevel="0" collapsed="false">
      <c r="A39" s="0" t="n">
        <f aca="false">IFERROR(__xludf.dummyfunction("""COMPUTED_VALUE"""),1309)</f>
        <v>1309</v>
      </c>
      <c r="B39" s="0" t="n">
        <f aca="false">IFERROR(__xludf.dummyfunction("""COMPUTED_VALUE"""),1)</f>
        <v>1</v>
      </c>
      <c r="C39" s="0" t="str">
        <f aca="false">IFERROR(__xludf.dummyfunction("if(B2=0,""""""formula"""":null"",""""""formula"""":[""&amp;JOIN("","",FILTER(H:H,E:E=A2))&amp;""]"")"),"""formula"":null")</f>
        <v>"formula":null</v>
      </c>
      <c r="E39" s="0" t="n">
        <f aca="false">IFERROR(__xludf.dummyfunction("""COMPUTED_VALUE"""),10003)</f>
        <v>10003</v>
      </c>
      <c r="F39" s="0" t="n">
        <f aca="false">IFERROR(__xludf.dummyfunction("""COMPUTED_VALUE"""),1201)</f>
        <v>1201</v>
      </c>
      <c r="G39" s="21" t="n">
        <f aca="false">IFERROR(__xludf.dummyfunction("""COMPUTED_VALUE"""),1)</f>
        <v>1</v>
      </c>
      <c r="H39" s="0" t="str">
        <f aca="false">"{""sku"":"""&amp;F39&amp;""",""req"":"&amp;G39&amp;"}"</f>
        <v>{"sku":"1201","req":1}</v>
      </c>
    </row>
    <row r="40" customFormat="false" ht="15.75" hidden="false" customHeight="true" outlineLevel="0" collapsed="false">
      <c r="A40" s="0" t="n">
        <f aca="false">IFERROR(__xludf.dummyfunction("""COMPUTED_VALUE"""),1310)</f>
        <v>1310</v>
      </c>
      <c r="B40" s="0" t="n">
        <f aca="false">IFERROR(__xludf.dummyfunction("""COMPUTED_VALUE"""),1)</f>
        <v>1</v>
      </c>
      <c r="C40" s="0" t="str">
        <f aca="false">IFERROR(__xludf.dummyfunction("if(B2=0,""""""formula"""":null"",""""""formula"""":[""&amp;JOIN("","",FILTER(H:H,E:E=A2))&amp;""]"")"),"""formula"":null")</f>
        <v>"formula":null</v>
      </c>
      <c r="E40" s="0" t="n">
        <f aca="false">IFERROR(__xludf.dummyfunction("""COMPUTED_VALUE"""),10003)</f>
        <v>10003</v>
      </c>
      <c r="F40" s="0" t="n">
        <f aca="false">IFERROR(__xludf.dummyfunction("""COMPUTED_VALUE"""),1105)</f>
        <v>1105</v>
      </c>
      <c r="G40" s="21" t="n">
        <f aca="false">IFERROR(__xludf.dummyfunction("""COMPUTED_VALUE"""),1)</f>
        <v>1</v>
      </c>
      <c r="H40" s="0" t="str">
        <f aca="false">"{""sku"":"""&amp;F40&amp;""",""req"":"&amp;G40&amp;"}"</f>
        <v>{"sku":"1105","req":1}</v>
      </c>
    </row>
    <row r="41" customFormat="false" ht="15.75" hidden="false" customHeight="true" outlineLevel="0" collapsed="false">
      <c r="A41" s="0" t="n">
        <f aca="false">IFERROR(__xludf.dummyfunction("""COMPUTED_VALUE"""),1407)</f>
        <v>1407</v>
      </c>
      <c r="B41" s="0" t="n">
        <f aca="false">IFERROR(__xludf.dummyfunction("""COMPUTED_VALUE"""),1)</f>
        <v>1</v>
      </c>
      <c r="C41" s="0" t="str">
        <f aca="false">IFERROR(__xludf.dummyfunction("if(B2=0,""""""formula"""":null"",""""""formula"""":[""&amp;JOIN("","",FILTER(H:H,E:E=A2))&amp;""]"")"),"""formula"":null")</f>
        <v>"formula":null</v>
      </c>
      <c r="E41" s="0" t="n">
        <f aca="false">IFERROR(__xludf.dummyfunction("""COMPUTED_VALUE"""),10003)</f>
        <v>10003</v>
      </c>
      <c r="F41" s="0" t="n">
        <f aca="false">IFERROR(__xludf.dummyfunction("""COMPUTED_VALUE"""),1013)</f>
        <v>1013</v>
      </c>
      <c r="G41" s="21" t="n">
        <f aca="false">IFERROR(__xludf.dummyfunction("""COMPUTED_VALUE"""),5)</f>
        <v>5</v>
      </c>
      <c r="H41" s="0" t="str">
        <f aca="false">"{""sku"":"""&amp;F41&amp;""",""req"":"&amp;G41&amp;"}"</f>
        <v>{"sku":"1013","req":5}</v>
      </c>
    </row>
    <row r="42" customFormat="false" ht="15.75" hidden="false" customHeight="true" outlineLevel="0" collapsed="false">
      <c r="A42" s="0" t="n">
        <f aca="false">IFERROR(__xludf.dummyfunction("""COMPUTED_VALUE"""),10001)</f>
        <v>10001</v>
      </c>
      <c r="B42" s="0" t="n">
        <f aca="false">IFERROR(__xludf.dummyfunction("""COMPUTED_VALUE"""),5)</f>
        <v>5</v>
      </c>
      <c r="C42" s="0" t="str">
        <f aca="false">IFERROR(__xludf.dummyfunction("if(B2=0,""""""formula"""":null"",""""""formula"""":[""&amp;JOIN("","",FILTER(H:H,E:E=A2))&amp;""]"")"),"""formula"":null")</f>
        <v>"formula":null</v>
      </c>
      <c r="E42" s="0" t="n">
        <f aca="false">IFERROR(__xludf.dummyfunction("""COMPUTED_VALUE"""),10003)</f>
        <v>10003</v>
      </c>
      <c r="F42" s="0" t="n">
        <f aca="false">IFERROR(__xludf.dummyfunction("""COMPUTED_VALUE"""),1210)</f>
        <v>1210</v>
      </c>
      <c r="G42" s="21" t="n">
        <f aca="false">IFERROR(__xludf.dummyfunction("""COMPUTED_VALUE"""),1)</f>
        <v>1</v>
      </c>
      <c r="H42" s="0" t="str">
        <f aca="false">"{""sku"":"""&amp;F42&amp;""",""req"":"&amp;G42&amp;"}"</f>
        <v>{"sku":"1210","req":1}</v>
      </c>
    </row>
    <row r="43" customFormat="false" ht="15.75" hidden="false" customHeight="true" outlineLevel="0" collapsed="false">
      <c r="A43" s="0" t="n">
        <f aca="false">IFERROR(__xludf.dummyfunction("""COMPUTED_VALUE"""),10002)</f>
        <v>10002</v>
      </c>
      <c r="B43" s="0" t="n">
        <f aca="false">IFERROR(__xludf.dummyfunction("""COMPUTED_VALUE"""),5)</f>
        <v>5</v>
      </c>
      <c r="C43" s="0" t="str">
        <f aca="false">IFERROR(__xludf.dummyfunction("if(B2=0,""""""formula"""":null"",""""""formula"""":[""&amp;JOIN("","",FILTER(H:H,E:E=A2))&amp;""]"")"),"""formula"":null")</f>
        <v>"formula":null</v>
      </c>
      <c r="E43" s="0" t="n">
        <f aca="false">IFERROR(__xludf.dummyfunction("""COMPUTED_VALUE"""),10003)</f>
        <v>10003</v>
      </c>
      <c r="F43" s="0" t="n">
        <f aca="false">IFERROR(__xludf.dummyfunction("""COMPUTED_VALUE"""),1211)</f>
        <v>1211</v>
      </c>
      <c r="G43" s="21" t="n">
        <f aca="false">IFERROR(__xludf.dummyfunction("""COMPUTED_VALUE"""),1)</f>
        <v>1</v>
      </c>
      <c r="H43" s="0" t="str">
        <f aca="false">"{""sku"":"""&amp;F43&amp;""",""req"":"&amp;G43&amp;"}"</f>
        <v>{"sku":"1211","req":1}</v>
      </c>
    </row>
    <row r="44" customFormat="false" ht="15.75" hidden="false" customHeight="true" outlineLevel="0" collapsed="false">
      <c r="A44" s="0" t="n">
        <f aca="false">IFERROR(__xludf.dummyfunction("""COMPUTED_VALUE"""),10003)</f>
        <v>10003</v>
      </c>
      <c r="B44" s="0" t="n">
        <f aca="false">IFERROR(__xludf.dummyfunction("""COMPUTED_VALUE"""),6)</f>
        <v>6</v>
      </c>
      <c r="C44" s="0" t="str">
        <f aca="false">IFERROR(__xludf.dummyfunction("if(B2=0,""""""formula"""":null"",""""""formula"""":[""&amp;JOIN("","",FILTER(H:H,E:E=A2))&amp;""]"")"),"""formula"":null")</f>
        <v>"formula":null</v>
      </c>
      <c r="E44" s="0" t="n">
        <f aca="false">IFERROR(__xludf.dummyfunction("""COMPUTED_VALUE"""),10003)</f>
        <v>10003</v>
      </c>
      <c r="F44" s="0" t="n">
        <f aca="false">IFERROR(__xludf.dummyfunction("""COMPUTED_VALUE"""),1116)</f>
        <v>1116</v>
      </c>
      <c r="G44" s="21" t="n">
        <f aca="false">IFERROR(__xludf.dummyfunction("""COMPUTED_VALUE"""),1)</f>
        <v>1</v>
      </c>
      <c r="H44" s="0" t="str">
        <f aca="false">"{""sku"":"""&amp;F44&amp;""",""req"":"&amp;G44&amp;"}"</f>
        <v>{"sku":"1116","req":1}</v>
      </c>
    </row>
    <row r="45" customFormat="false" ht="13" hidden="false" customHeight="false" outlineLevel="0" collapsed="false">
      <c r="A45" s="0" t="n">
        <f aca="false">IFERROR(__xludf.dummyfunction("""COMPUTED_VALUE"""),10004)</f>
        <v>10004</v>
      </c>
      <c r="B45" s="0" t="n">
        <f aca="false">IFERROR(__xludf.dummyfunction("""COMPUTED_VALUE"""),5)</f>
        <v>5</v>
      </c>
      <c r="C45" s="0" t="str">
        <f aca="false">IFERROR(__xludf.dummyfunction("if(B2=0,""""""formula"""":null"",""""""formula"""":[""&amp;JOIN("","",FILTER(H:H,E:E=A2))&amp;""]"")"),"""formula"":null")</f>
        <v>"formula":null</v>
      </c>
      <c r="E45" s="0" t="n">
        <f aca="false">IFERROR(__xludf.dummyfunction("""COMPUTED_VALUE"""),10004)</f>
        <v>10004</v>
      </c>
      <c r="F45" s="0" t="n">
        <f aca="false">IFERROR(__xludf.dummyfunction("""COMPUTED_VALUE"""),1201)</f>
        <v>1201</v>
      </c>
      <c r="G45" s="21" t="n">
        <f aca="false">IFERROR(__xludf.dummyfunction("""COMPUTED_VALUE"""),1)</f>
        <v>1</v>
      </c>
      <c r="H45" s="0" t="str">
        <f aca="false">"{""sku"":"""&amp;F45&amp;""",""req"":"&amp;G45&amp;"}"</f>
        <v>{"sku":"1201","req":1}</v>
      </c>
    </row>
    <row r="46" customFormat="false" ht="13" hidden="false" customHeight="false" outlineLevel="0" collapsed="false">
      <c r="A46" s="0" t="n">
        <f aca="false">IFERROR(__xludf.dummyfunction("""COMPUTED_VALUE"""),10005)</f>
        <v>10005</v>
      </c>
      <c r="B46" s="0" t="n">
        <f aca="false">IFERROR(__xludf.dummyfunction("""COMPUTED_VALUE"""),5)</f>
        <v>5</v>
      </c>
      <c r="C46" s="0" t="str">
        <f aca="false">IFERROR(__xludf.dummyfunction("if(B2=0,""""""formula"""":null"",""""""formula"""":[""&amp;JOIN("","",FILTER(H:H,E:E=A2))&amp;""]"")"),"""formula"":null")</f>
        <v>"formula":null</v>
      </c>
      <c r="E46" s="0" t="n">
        <f aca="false">IFERROR(__xludf.dummyfunction("""COMPUTED_VALUE"""),10004)</f>
        <v>10004</v>
      </c>
      <c r="F46" s="0" t="n">
        <f aca="false">IFERROR(__xludf.dummyfunction("""COMPUTED_VALUE"""),1106)</f>
        <v>1106</v>
      </c>
      <c r="G46" s="21" t="n">
        <f aca="false">IFERROR(__xludf.dummyfunction("""COMPUTED_VALUE"""),4)</f>
        <v>4</v>
      </c>
      <c r="H46" s="0" t="str">
        <f aca="false">"{""sku"":"""&amp;F46&amp;""",""req"":"&amp;G46&amp;"}"</f>
        <v>{"sku":"1106","req":4}</v>
      </c>
    </row>
    <row r="47" customFormat="false" ht="13" hidden="false" customHeight="false" outlineLevel="0" collapsed="false">
      <c r="A47" s="0" t="n">
        <f aca="false">IFERROR(__xludf.dummyfunction("""COMPUTED_VALUE"""),10006)</f>
        <v>10006</v>
      </c>
      <c r="B47" s="0" t="n">
        <f aca="false">IFERROR(__xludf.dummyfunction("""COMPUTED_VALUE"""),5)</f>
        <v>5</v>
      </c>
      <c r="C47" s="0" t="str">
        <f aca="false">IFERROR(__xludf.dummyfunction("if(B2=0,""""""formula"""":null"",""""""formula"""":[""&amp;JOIN("","",FILTER(H:H,E:E=A2))&amp;""]"")"),"""formula"":null")</f>
        <v>"formula":null</v>
      </c>
      <c r="E47" s="0" t="n">
        <f aca="false">IFERROR(__xludf.dummyfunction("""COMPUTED_VALUE"""),10004)</f>
        <v>10004</v>
      </c>
      <c r="F47" s="0" t="n">
        <f aca="false">IFERROR(__xludf.dummyfunction("""COMPUTED_VALUE"""),1210)</f>
        <v>1210</v>
      </c>
      <c r="G47" s="21" t="n">
        <f aca="false">IFERROR(__xludf.dummyfunction("""COMPUTED_VALUE"""),1)</f>
        <v>1</v>
      </c>
      <c r="H47" s="0" t="str">
        <f aca="false">"{""sku"":"""&amp;F47&amp;""",""req"":"&amp;G47&amp;"}"</f>
        <v>{"sku":"1210","req":1}</v>
      </c>
    </row>
    <row r="48" customFormat="false" ht="13" hidden="false" customHeight="false" outlineLevel="0" collapsed="false">
      <c r="A48" s="0" t="n">
        <f aca="false">IFERROR(__xludf.dummyfunction("""COMPUTED_VALUE"""),10007)</f>
        <v>10007</v>
      </c>
      <c r="B48" s="0" t="n">
        <f aca="false">IFERROR(__xludf.dummyfunction("""COMPUTED_VALUE"""),5)</f>
        <v>5</v>
      </c>
      <c r="C48" s="0" t="str">
        <f aca="false">IFERROR(__xludf.dummyfunction("if(B2=0,""""""formula"""":null"",""""""formula"""":[""&amp;JOIN("","",FILTER(H:H,E:E=A2))&amp;""]"")"),"""formula"":null")</f>
        <v>"formula":null</v>
      </c>
      <c r="E48" s="0" t="n">
        <f aca="false">IFERROR(__xludf.dummyfunction("""COMPUTED_VALUE"""),10004)</f>
        <v>10004</v>
      </c>
      <c r="F48" s="0" t="n">
        <f aca="false">IFERROR(__xludf.dummyfunction("""COMPUTED_VALUE"""),1211)</f>
        <v>1211</v>
      </c>
      <c r="G48" s="21" t="n">
        <f aca="false">IFERROR(__xludf.dummyfunction("""COMPUTED_VALUE"""),1)</f>
        <v>1</v>
      </c>
      <c r="H48" s="0" t="str">
        <f aca="false">"{""sku"":"""&amp;F48&amp;""",""req"":"&amp;G48&amp;"}"</f>
        <v>{"sku":"1211","req":1}</v>
      </c>
    </row>
    <row r="49" customFormat="false" ht="13" hidden="false" customHeight="false" outlineLevel="0" collapsed="false">
      <c r="A49" s="0" t="n">
        <f aca="false">IFERROR(__xludf.dummyfunction("""COMPUTED_VALUE"""),10008)</f>
        <v>10008</v>
      </c>
      <c r="B49" s="0" t="n">
        <f aca="false">IFERROR(__xludf.dummyfunction("""COMPUTED_VALUE"""),5)</f>
        <v>5</v>
      </c>
      <c r="C49" s="0" t="str">
        <f aca="false">IFERROR(__xludf.dummyfunction("if(B2=0,""""""formula"""":null"",""""""formula"""":[""&amp;JOIN("","",FILTER(H:H,E:E=A2))&amp;""]"")"),"""formula"":null")</f>
        <v>"formula":null</v>
      </c>
      <c r="E49" s="0" t="n">
        <f aca="false">IFERROR(__xludf.dummyfunction("""COMPUTED_VALUE"""),10004)</f>
        <v>10004</v>
      </c>
      <c r="F49" s="0" t="n">
        <f aca="false">IFERROR(__xludf.dummyfunction("""COMPUTED_VALUE"""),1116)</f>
        <v>1116</v>
      </c>
      <c r="G49" s="21" t="n">
        <f aca="false">IFERROR(__xludf.dummyfunction("""COMPUTED_VALUE"""),1)</f>
        <v>1</v>
      </c>
      <c r="H49" s="0" t="str">
        <f aca="false">"{""sku"":"""&amp;F49&amp;""",""req"":"&amp;G49&amp;"}"</f>
        <v>{"sku":"1116","req":1}</v>
      </c>
    </row>
    <row r="50" customFormat="false" ht="13" hidden="false" customHeight="false" outlineLevel="0" collapsed="false">
      <c r="A50" s="0" t="n">
        <f aca="false">IFERROR(__xludf.dummyfunction("""COMPUTED_VALUE"""),10009)</f>
        <v>10009</v>
      </c>
      <c r="B50" s="0" t="n">
        <f aca="false">IFERROR(__xludf.dummyfunction("""COMPUTED_VALUE"""),5)</f>
        <v>5</v>
      </c>
      <c r="C50" s="0" t="str">
        <f aca="false">IFERROR(__xludf.dummyfunction("if(B2=0,""""""formula"""":null"",""""""formula"""":[""&amp;JOIN("","",FILTER(H:H,E:E=A2))&amp;""]"")"),"""formula"":null")</f>
        <v>"formula":null</v>
      </c>
      <c r="E50" s="0" t="n">
        <f aca="false">IFERROR(__xludf.dummyfunction("""COMPUTED_VALUE"""),10005)</f>
        <v>10005</v>
      </c>
      <c r="F50" s="0" t="n">
        <f aca="false">IFERROR(__xludf.dummyfunction("""COMPUTED_VALUE"""),1201)</f>
        <v>1201</v>
      </c>
      <c r="G50" s="21" t="n">
        <f aca="false">IFERROR(__xludf.dummyfunction("""COMPUTED_VALUE"""),1)</f>
        <v>1</v>
      </c>
      <c r="H50" s="0" t="str">
        <f aca="false">"{""sku"":"""&amp;F50&amp;""",""req"":"&amp;G50&amp;"}"</f>
        <v>{"sku":"1201","req":1}</v>
      </c>
    </row>
    <row r="51" customFormat="false" ht="13" hidden="false" customHeight="false" outlineLevel="0" collapsed="false">
      <c r="A51" s="0" t="n">
        <f aca="false">IFERROR(__xludf.dummyfunction("""COMPUTED_VALUE"""),10010)</f>
        <v>10010</v>
      </c>
      <c r="B51" s="0" t="n">
        <f aca="false">IFERROR(__xludf.dummyfunction("""COMPUTED_VALUE"""),5)</f>
        <v>5</v>
      </c>
      <c r="C51" s="0" t="str">
        <f aca="false">IFERROR(__xludf.dummyfunction("if(B2=0,""""""formula"""":null"",""""""formula"""":[""&amp;JOIN("","",FILTER(H:H,E:E=A2))&amp;""]"")"),"""formula"":null")</f>
        <v>"formula":null</v>
      </c>
      <c r="E51" s="0" t="n">
        <f aca="false">IFERROR(__xludf.dummyfunction("""COMPUTED_VALUE"""),10005)</f>
        <v>10005</v>
      </c>
      <c r="F51" s="0" t="n">
        <f aca="false">IFERROR(__xludf.dummyfunction("""COMPUTED_VALUE"""),1106)</f>
        <v>1106</v>
      </c>
      <c r="G51" s="21" t="n">
        <f aca="false">IFERROR(__xludf.dummyfunction("""COMPUTED_VALUE"""),4)</f>
        <v>4</v>
      </c>
      <c r="H51" s="0" t="str">
        <f aca="false">"{""sku"":"""&amp;F51&amp;""",""req"":"&amp;G51&amp;"}"</f>
        <v>{"sku":"1106","req":4}</v>
      </c>
    </row>
    <row r="52" customFormat="false" ht="13" hidden="false" customHeight="false" outlineLevel="0" collapsed="false">
      <c r="A52" s="0" t="n">
        <f aca="false">IFERROR(__xludf.dummyfunction("""COMPUTED_VALUE"""),10011)</f>
        <v>10011</v>
      </c>
      <c r="B52" s="0" t="n">
        <f aca="false">IFERROR(__xludf.dummyfunction("""COMPUTED_VALUE"""),6)</f>
        <v>6</v>
      </c>
      <c r="C52" s="0" t="str">
        <f aca="false">IFERROR(__xludf.dummyfunction("if(B2=0,""""""formula"""":null"",""""""formula"""":[""&amp;JOIN("","",FILTER(H:H,E:E=A2))&amp;""]"")"),"""formula"":null")</f>
        <v>"formula":null</v>
      </c>
      <c r="E52" s="0" t="n">
        <f aca="false">IFERROR(__xludf.dummyfunction("""COMPUTED_VALUE"""),10005)</f>
        <v>10005</v>
      </c>
      <c r="F52" s="0" t="n">
        <f aca="false">IFERROR(__xludf.dummyfunction("""COMPUTED_VALUE"""),1013)</f>
        <v>1013</v>
      </c>
      <c r="G52" s="21" t="n">
        <f aca="false">IFERROR(__xludf.dummyfunction("""COMPUTED_VALUE"""),5)</f>
        <v>5</v>
      </c>
      <c r="H52" s="0" t="str">
        <f aca="false">"{""sku"":"""&amp;F52&amp;""",""req"":"&amp;G52&amp;"}"</f>
        <v>{"sku":"1013","req":5}</v>
      </c>
    </row>
    <row r="53" customFormat="false" ht="13" hidden="false" customHeight="false" outlineLevel="0" collapsed="false">
      <c r="A53" s="0" t="n">
        <f aca="false">IFERROR(__xludf.dummyfunction("""COMPUTED_VALUE"""),10012)</f>
        <v>10012</v>
      </c>
      <c r="B53" s="0" t="n">
        <f aca="false">IFERROR(__xludf.dummyfunction("""COMPUTED_VALUE"""),6)</f>
        <v>6</v>
      </c>
      <c r="C53" s="0" t="str">
        <f aca="false">IFERROR(__xludf.dummyfunction("if(B2=0,""""""formula"""":null"",""""""formula"""":[""&amp;JOIN("","",FILTER(H:H,E:E=A2))&amp;""]"")"),"""formula"":null")</f>
        <v>"formula":null</v>
      </c>
      <c r="E53" s="0" t="n">
        <f aca="false">IFERROR(__xludf.dummyfunction("""COMPUTED_VALUE"""),10005)</f>
        <v>10005</v>
      </c>
      <c r="F53" s="0" t="n">
        <f aca="false">IFERROR(__xludf.dummyfunction("""COMPUTED_VALUE"""),1210)</f>
        <v>1210</v>
      </c>
      <c r="G53" s="21" t="n">
        <f aca="false">IFERROR(__xludf.dummyfunction("""COMPUTED_VALUE"""),1)</f>
        <v>1</v>
      </c>
      <c r="H53" s="0" t="str">
        <f aca="false">"{""sku"":"""&amp;F53&amp;""",""req"":"&amp;G53&amp;"}"</f>
        <v>{"sku":"1210","req":1}</v>
      </c>
    </row>
    <row r="54" customFormat="false" ht="13" hidden="false" customHeight="false" outlineLevel="0" collapsed="false">
      <c r="A54" s="0" t="n">
        <f aca="false">IFERROR(__xludf.dummyfunction("""COMPUTED_VALUE"""),10013)</f>
        <v>10013</v>
      </c>
      <c r="B54" s="0" t="n">
        <f aca="false">IFERROR(__xludf.dummyfunction("""COMPUTED_VALUE"""),5)</f>
        <v>5</v>
      </c>
      <c r="C54" s="0" t="str">
        <f aca="false">IFERROR(__xludf.dummyfunction("if(B2=0,""""""formula"""":null"",""""""formula"""":[""&amp;JOIN("","",FILTER(H:H,E:E=A2))&amp;""]"")"),"""formula"":null")</f>
        <v>"formula":null</v>
      </c>
      <c r="E54" s="0" t="n">
        <f aca="false">IFERROR(__xludf.dummyfunction("""COMPUTED_VALUE"""),10005)</f>
        <v>10005</v>
      </c>
      <c r="F54" s="0" t="n">
        <f aca="false">IFERROR(__xludf.dummyfunction("""COMPUTED_VALUE"""),1116)</f>
        <v>1116</v>
      </c>
      <c r="G54" s="21" t="n">
        <f aca="false">IFERROR(__xludf.dummyfunction("""COMPUTED_VALUE"""),1)</f>
        <v>1</v>
      </c>
      <c r="H54" s="0" t="str">
        <f aca="false">"{""sku"":"""&amp;F54&amp;""",""req"":"&amp;G54&amp;"}"</f>
        <v>{"sku":"1116","req":1}</v>
      </c>
    </row>
    <row r="55" customFormat="false" ht="13" hidden="false" customHeight="false" outlineLevel="0" collapsed="false">
      <c r="A55" s="0" t="n">
        <f aca="false">IFERROR(__xludf.dummyfunction("""COMPUTED_VALUE"""),10014)</f>
        <v>10014</v>
      </c>
      <c r="B55" s="0" t="n">
        <f aca="false">IFERROR(__xludf.dummyfunction("""COMPUTED_VALUE"""),5)</f>
        <v>5</v>
      </c>
      <c r="C55" s="0" t="str">
        <f aca="false">IFERROR(__xludf.dummyfunction("if(B2=0,""""""formula"""":null"",""""""formula"""":[""&amp;JOIN("","",FILTER(H:H,E:E=A2))&amp;""]"")"),"""formula"":null")</f>
        <v>"formula":null</v>
      </c>
      <c r="E55" s="0" t="n">
        <f aca="false">IFERROR(__xludf.dummyfunction("""COMPUTED_VALUE"""),10006)</f>
        <v>10006</v>
      </c>
      <c r="F55" s="0" t="n">
        <f aca="false">IFERROR(__xludf.dummyfunction("""COMPUTED_VALUE"""),1201)</f>
        <v>1201</v>
      </c>
      <c r="G55" s="21" t="n">
        <f aca="false">IFERROR(__xludf.dummyfunction("""COMPUTED_VALUE"""),1)</f>
        <v>1</v>
      </c>
      <c r="H55" s="0" t="str">
        <f aca="false">"{""sku"":"""&amp;F55&amp;""",""req"":"&amp;G55&amp;"}"</f>
        <v>{"sku":"1201","req":1}</v>
      </c>
    </row>
    <row r="56" customFormat="false" ht="13" hidden="false" customHeight="false" outlineLevel="0" collapsed="false">
      <c r="A56" s="0" t="n">
        <f aca="false">IFERROR(__xludf.dummyfunction("""COMPUTED_VALUE"""),10015)</f>
        <v>10015</v>
      </c>
      <c r="B56" s="0" t="n">
        <f aca="false">IFERROR(__xludf.dummyfunction("""COMPUTED_VALUE"""),6)</f>
        <v>6</v>
      </c>
      <c r="C56" s="0" t="str">
        <f aca="false">IFERROR(__xludf.dummyfunction("if(B2=0,""""""formula"""":null"",""""""formula"""":[""&amp;JOIN("","",FILTER(H:H,E:E=A2))&amp;""]"")"),"""formula"":null")</f>
        <v>"formula":null</v>
      </c>
      <c r="E56" s="0" t="n">
        <f aca="false">IFERROR(__xludf.dummyfunction("""COMPUTED_VALUE"""),10006)</f>
        <v>10006</v>
      </c>
      <c r="F56" s="0" t="n">
        <f aca="false">IFERROR(__xludf.dummyfunction("""COMPUTED_VALUE"""),1210)</f>
        <v>1210</v>
      </c>
      <c r="G56" s="21" t="n">
        <f aca="false">IFERROR(__xludf.dummyfunction("""COMPUTED_VALUE"""),1)</f>
        <v>1</v>
      </c>
      <c r="H56" s="0" t="str">
        <f aca="false">"{""sku"":"""&amp;F56&amp;""",""req"":"&amp;G56&amp;"}"</f>
        <v>{"sku":"1210","req":1}</v>
      </c>
    </row>
    <row r="57" customFormat="false" ht="13" hidden="false" customHeight="false" outlineLevel="0" collapsed="false">
      <c r="A57" s="0" t="n">
        <f aca="false">IFERROR(__xludf.dummyfunction("""COMPUTED_VALUE"""),10016)</f>
        <v>10016</v>
      </c>
      <c r="B57" s="0" t="n">
        <f aca="false">IFERROR(__xludf.dummyfunction("""COMPUTED_VALUE"""),6)</f>
        <v>6</v>
      </c>
      <c r="C57" s="0" t="str">
        <f aca="false">IFERROR(__xludf.dummyfunction("if(B2=0,""""""formula"""":null"",""""""formula"""":[""&amp;JOIN("","",FILTER(H:H,E:E=A2))&amp;""]"")"),"""formula"":null")</f>
        <v>"formula":null</v>
      </c>
      <c r="E57" s="0" t="n">
        <f aca="false">IFERROR(__xludf.dummyfunction("""COMPUTED_VALUE"""),10006)</f>
        <v>10006</v>
      </c>
      <c r="F57" s="0" t="n">
        <f aca="false">IFERROR(__xludf.dummyfunction("""COMPUTED_VALUE"""),1107)</f>
        <v>1107</v>
      </c>
      <c r="G57" s="21" t="n">
        <f aca="false">IFERROR(__xludf.dummyfunction("""COMPUTED_VALUE"""),1)</f>
        <v>1</v>
      </c>
      <c r="H57" s="0" t="str">
        <f aca="false">"{""sku"":"""&amp;F57&amp;""",""req"":"&amp;G57&amp;"}"</f>
        <v>{"sku":"1107","req":1}</v>
      </c>
    </row>
    <row r="58" customFormat="false" ht="13" hidden="false" customHeight="false" outlineLevel="0" collapsed="false">
      <c r="A58" s="0" t="n">
        <f aca="false">IFERROR(__xludf.dummyfunction("""COMPUTED_VALUE"""),10017)</f>
        <v>10017</v>
      </c>
      <c r="B58" s="0" t="n">
        <f aca="false">IFERROR(__xludf.dummyfunction("""COMPUTED_VALUE"""),5)</f>
        <v>5</v>
      </c>
      <c r="C58" s="0" t="str">
        <f aca="false">IFERROR(__xludf.dummyfunction("if(B2=0,""""""formula"""":null"",""""""formula"""":[""&amp;JOIN("","",FILTER(H:H,E:E=A2))&amp;""]"")"),"""formula"":null")</f>
        <v>"formula":null</v>
      </c>
      <c r="E58" s="0" t="n">
        <f aca="false">IFERROR(__xludf.dummyfunction("""COMPUTED_VALUE"""),10006)</f>
        <v>10006</v>
      </c>
      <c r="F58" s="0" t="n">
        <f aca="false">IFERROR(__xludf.dummyfunction("""COMPUTED_VALUE"""),1211)</f>
        <v>1211</v>
      </c>
      <c r="G58" s="21" t="n">
        <f aca="false">IFERROR(__xludf.dummyfunction("""COMPUTED_VALUE"""),1)</f>
        <v>1</v>
      </c>
      <c r="H58" s="0" t="str">
        <f aca="false">"{""sku"":"""&amp;F58&amp;""",""req"":"&amp;G58&amp;"}"</f>
        <v>{"sku":"1211","req":1}</v>
      </c>
    </row>
    <row r="59" customFormat="false" ht="13" hidden="false" customHeight="false" outlineLevel="0" collapsed="false">
      <c r="A59" s="0" t="n">
        <f aca="false">IFERROR(__xludf.dummyfunction("""COMPUTED_VALUE"""),10018)</f>
        <v>10018</v>
      </c>
      <c r="B59" s="0" t="n">
        <f aca="false">IFERROR(__xludf.dummyfunction("""COMPUTED_VALUE"""),5)</f>
        <v>5</v>
      </c>
      <c r="C59" s="0" t="str">
        <f aca="false">IFERROR(__xludf.dummyfunction("if(B2=0,""""""formula"""":null"",""""""formula"""":[""&amp;JOIN("","",FILTER(H:H,E:E=A2))&amp;""]"")"),"""formula"":null")</f>
        <v>"formula":null</v>
      </c>
      <c r="E59" s="0" t="n">
        <f aca="false">IFERROR(__xludf.dummyfunction("""COMPUTED_VALUE"""),10006)</f>
        <v>10006</v>
      </c>
      <c r="F59" s="0" t="n">
        <f aca="false">IFERROR(__xludf.dummyfunction("""COMPUTED_VALUE"""),1116)</f>
        <v>1116</v>
      </c>
      <c r="G59" s="21" t="n">
        <f aca="false">IFERROR(__xludf.dummyfunction("""COMPUTED_VALUE"""),1)</f>
        <v>1</v>
      </c>
      <c r="H59" s="0" t="str">
        <f aca="false">"{""sku"":"""&amp;F59&amp;""",""req"":"&amp;G59&amp;"}"</f>
        <v>{"sku":"1116","req":1}</v>
      </c>
    </row>
    <row r="60" customFormat="false" ht="13" hidden="false" customHeight="false" outlineLevel="0" collapsed="false">
      <c r="A60" s="0" t="n">
        <f aca="false">IFERROR(__xludf.dummyfunction("""COMPUTED_VALUE"""),10019)</f>
        <v>10019</v>
      </c>
      <c r="B60" s="0" t="n">
        <f aca="false">IFERROR(__xludf.dummyfunction("""COMPUTED_VALUE"""),5)</f>
        <v>5</v>
      </c>
      <c r="C60" s="0" t="str">
        <f aca="false">IFERROR(__xludf.dummyfunction("if(B2=0,""""""formula"""":null"",""""""formula"""":[""&amp;JOIN("","",FILTER(H:H,E:E=A2))&amp;""]"")"),"""formula"":null")</f>
        <v>"formula":null</v>
      </c>
      <c r="E60" s="0" t="n">
        <f aca="false">IFERROR(__xludf.dummyfunction("""COMPUTED_VALUE"""),10007)</f>
        <v>10007</v>
      </c>
      <c r="F60" s="0" t="n">
        <f aca="false">IFERROR(__xludf.dummyfunction("""COMPUTED_VALUE"""),1201)</f>
        <v>1201</v>
      </c>
      <c r="G60" s="21" t="n">
        <f aca="false">IFERROR(__xludf.dummyfunction("""COMPUTED_VALUE"""),1)</f>
        <v>1</v>
      </c>
      <c r="H60" s="0" t="str">
        <f aca="false">"{""sku"":"""&amp;F60&amp;""",""req"":"&amp;G60&amp;"}"</f>
        <v>{"sku":"1201","req":1}</v>
      </c>
    </row>
    <row r="61" customFormat="false" ht="13" hidden="false" customHeight="false" outlineLevel="0" collapsed="false">
      <c r="A61" s="0" t="n">
        <f aca="false">IFERROR(__xludf.dummyfunction("""COMPUTED_VALUE"""),10020)</f>
        <v>10020</v>
      </c>
      <c r="B61" s="0" t="n">
        <f aca="false">IFERROR(__xludf.dummyfunction("""COMPUTED_VALUE"""),6)</f>
        <v>6</v>
      </c>
      <c r="C61" s="0" t="str">
        <f aca="false">IFERROR(__xludf.dummyfunction("if(B2=0,""""""formula"""":null"",""""""formula"""":[""&amp;JOIN("","",FILTER(H:H,E:E=A2))&amp;""]"")"),"""formula"":null")</f>
        <v>"formula":null</v>
      </c>
      <c r="E61" s="0" t="n">
        <f aca="false">IFERROR(__xludf.dummyfunction("""COMPUTED_VALUE"""),10007)</f>
        <v>10007</v>
      </c>
      <c r="F61" s="0" t="n">
        <f aca="false">IFERROR(__xludf.dummyfunction("""COMPUTED_VALUE"""),1013)</f>
        <v>1013</v>
      </c>
      <c r="G61" s="21" t="n">
        <f aca="false">IFERROR(__xludf.dummyfunction("""COMPUTED_VALUE"""),5)</f>
        <v>5</v>
      </c>
      <c r="H61" s="0" t="str">
        <f aca="false">"{""sku"":"""&amp;F61&amp;""",""req"":"&amp;G61&amp;"}"</f>
        <v>{"sku":"1013","req":5}</v>
      </c>
    </row>
    <row r="62" customFormat="false" ht="13" hidden="false" customHeight="false" outlineLevel="0" collapsed="false">
      <c r="A62" s="0" t="n">
        <f aca="false">IFERROR(__xludf.dummyfunction("""COMPUTED_VALUE"""),10021)</f>
        <v>10021</v>
      </c>
      <c r="B62" s="0" t="n">
        <f aca="false">IFERROR(__xludf.dummyfunction("""COMPUTED_VALUE"""),5)</f>
        <v>5</v>
      </c>
      <c r="C62" s="0" t="str">
        <f aca="false">IFERROR(__xludf.dummyfunction("if(B2=0,""""""formula"""":null"",""""""formula"""":[""&amp;JOIN("","",FILTER(H:H,E:E=A2))&amp;""]"")"),"""formula"":null")</f>
        <v>"formula":null</v>
      </c>
      <c r="E62" s="0" t="n">
        <f aca="false">IFERROR(__xludf.dummyfunction("""COMPUTED_VALUE"""),10007)</f>
        <v>10007</v>
      </c>
      <c r="F62" s="0" t="n">
        <f aca="false">IFERROR(__xludf.dummyfunction("""COMPUTED_VALUE"""),1210)</f>
        <v>1210</v>
      </c>
      <c r="G62" s="21" t="n">
        <f aca="false">IFERROR(__xludf.dummyfunction("""COMPUTED_VALUE"""),1)</f>
        <v>1</v>
      </c>
      <c r="H62" s="0" t="str">
        <f aca="false">"{""sku"":"""&amp;F62&amp;""",""req"":"&amp;G62&amp;"}"</f>
        <v>{"sku":"1210","req":1}</v>
      </c>
    </row>
    <row r="63" customFormat="false" ht="13" hidden="false" customHeight="false" outlineLevel="0" collapsed="false">
      <c r="A63" s="0" t="n">
        <f aca="false">IFERROR(__xludf.dummyfunction("""COMPUTED_VALUE"""),10022)</f>
        <v>10022</v>
      </c>
      <c r="B63" s="0" t="n">
        <f aca="false">IFERROR(__xludf.dummyfunction("""COMPUTED_VALUE"""),6)</f>
        <v>6</v>
      </c>
      <c r="C63" s="0" t="str">
        <f aca="false">IFERROR(__xludf.dummyfunction("if(B2=0,""""""formula"""":null"",""""""formula"""":[""&amp;JOIN("","",FILTER(H:H,E:E=A2))&amp;""]"")"),"""formula"":null")</f>
        <v>"formula":null</v>
      </c>
      <c r="E63" s="0" t="n">
        <f aca="false">IFERROR(__xludf.dummyfunction("""COMPUTED_VALUE"""),10007)</f>
        <v>10007</v>
      </c>
      <c r="F63" s="0" t="n">
        <f aca="false">IFERROR(__xludf.dummyfunction("""COMPUTED_VALUE"""),1107)</f>
        <v>1107</v>
      </c>
      <c r="G63" s="21" t="n">
        <f aca="false">IFERROR(__xludf.dummyfunction("""COMPUTED_VALUE"""),1)</f>
        <v>1</v>
      </c>
      <c r="H63" s="0" t="str">
        <f aca="false">"{""sku"":"""&amp;F63&amp;""",""req"":"&amp;G63&amp;"}"</f>
        <v>{"sku":"1107","req":1}</v>
      </c>
    </row>
    <row r="64" customFormat="false" ht="13" hidden="false" customHeight="false" outlineLevel="0" collapsed="false">
      <c r="A64" s="0" t="n">
        <f aca="false">IFERROR(__xludf.dummyfunction("""COMPUTED_VALUE"""),10023)</f>
        <v>10023</v>
      </c>
      <c r="B64" s="0" t="n">
        <f aca="false">IFERROR(__xludf.dummyfunction("""COMPUTED_VALUE"""),6)</f>
        <v>6</v>
      </c>
      <c r="C64" s="0" t="str">
        <f aca="false">IFERROR(__xludf.dummyfunction("if(B2=0,""""""formula"""":null"",""""""formula"""":[""&amp;JOIN("","",FILTER(H:H,E:E=A2))&amp;""]"")"),"""formula"":null")</f>
        <v>"formula":null</v>
      </c>
      <c r="E64" s="0" t="n">
        <f aca="false">IFERROR(__xludf.dummyfunction("""COMPUTED_VALUE"""),10007)</f>
        <v>10007</v>
      </c>
      <c r="F64" s="0" t="n">
        <f aca="false">IFERROR(__xludf.dummyfunction("""COMPUTED_VALUE"""),1116)</f>
        <v>1116</v>
      </c>
      <c r="G64" s="21" t="n">
        <f aca="false">IFERROR(__xludf.dummyfunction("""COMPUTED_VALUE"""),1)</f>
        <v>1</v>
      </c>
      <c r="H64" s="0" t="str">
        <f aca="false">"{""sku"":"""&amp;F64&amp;""",""req"":"&amp;G64&amp;"}"</f>
        <v>{"sku":"1116","req":1}</v>
      </c>
    </row>
    <row r="65" customFormat="false" ht="13" hidden="false" customHeight="false" outlineLevel="0" collapsed="false">
      <c r="A65" s="0" t="n">
        <f aca="false">IFERROR(__xludf.dummyfunction("""COMPUTED_VALUE"""),10024)</f>
        <v>10024</v>
      </c>
      <c r="B65" s="0" t="n">
        <f aca="false">IFERROR(__xludf.dummyfunction("""COMPUTED_VALUE"""),6)</f>
        <v>6</v>
      </c>
      <c r="C65" s="0" t="str">
        <f aca="false">IFERROR(__xludf.dummyfunction("if(B2=0,""""""formula"""":null"",""""""formula"""":[""&amp;JOIN("","",FILTER(H:H,E:E=A2))&amp;""]"")"),"""formula"":null")</f>
        <v>"formula":null</v>
      </c>
      <c r="E65" s="0" t="n">
        <f aca="false">IFERROR(__xludf.dummyfunction("""COMPUTED_VALUE"""),10008)</f>
        <v>10008</v>
      </c>
      <c r="F65" s="0" t="n">
        <f aca="false">IFERROR(__xludf.dummyfunction("""COMPUTED_VALUE"""),1201)</f>
        <v>1201</v>
      </c>
      <c r="G65" s="21" t="n">
        <f aca="false">IFERROR(__xludf.dummyfunction("""COMPUTED_VALUE"""),1)</f>
        <v>1</v>
      </c>
      <c r="H65" s="0" t="str">
        <f aca="false">"{""sku"":"""&amp;F65&amp;""",""req"":"&amp;G65&amp;"}"</f>
        <v>{"sku":"1201","req":1}</v>
      </c>
    </row>
    <row r="66" customFormat="false" ht="13" hidden="false" customHeight="false" outlineLevel="0" collapsed="false">
      <c r="A66" s="0" t="n">
        <f aca="false">IFERROR(__xludf.dummyfunction("""COMPUTED_VALUE"""),10025)</f>
        <v>10025</v>
      </c>
      <c r="B66" s="0" t="n">
        <f aca="false">IFERROR(__xludf.dummyfunction("""COMPUTED_VALUE"""),6)</f>
        <v>6</v>
      </c>
      <c r="C66" s="0" t="str">
        <f aca="false">IFERROR(__xludf.dummyfunction("if(B2=0,""""""formula"""":null"",""""""formula"""":[""&amp;JOIN("","",FILTER(H:H,E:E=A2))&amp;""]"")"),"""formula"":null")</f>
        <v>"formula":null</v>
      </c>
      <c r="E66" s="0" t="n">
        <f aca="false">IFERROR(__xludf.dummyfunction("""COMPUTED_VALUE"""),10008)</f>
        <v>10008</v>
      </c>
      <c r="F66" s="0" t="n">
        <f aca="false">IFERROR(__xludf.dummyfunction("""COMPUTED_VALUE"""),1109)</f>
        <v>1109</v>
      </c>
      <c r="G66" s="21" t="n">
        <f aca="false">IFERROR(__xludf.dummyfunction("""COMPUTED_VALUE"""),1)</f>
        <v>1</v>
      </c>
      <c r="H66" s="0" t="str">
        <f aca="false">"{""sku"":"""&amp;F66&amp;""",""req"":"&amp;G66&amp;"}"</f>
        <v>{"sku":"1109","req":1}</v>
      </c>
    </row>
    <row r="67" customFormat="false" ht="13" hidden="false" customHeight="false" outlineLevel="0" collapsed="false">
      <c r="A67" s="0" t="n">
        <f aca="false">IFERROR(__xludf.dummyfunction("""COMPUTED_VALUE"""),20001)</f>
        <v>20001</v>
      </c>
      <c r="B67" s="0" t="n">
        <f aca="false">IFERROR(__xludf.dummyfunction("""COMPUTED_VALUE"""),5)</f>
        <v>5</v>
      </c>
      <c r="C67" s="0" t="str">
        <f aca="false">IFERROR(__xludf.dummyfunction("if(B2=0,""""""formula"""":null"",""""""formula"""":[""&amp;JOIN("","",FILTER(H:H,E:E=A2))&amp;""]"")"),"""formula"":null")</f>
        <v>"formula":null</v>
      </c>
      <c r="E67" s="0" t="n">
        <f aca="false">IFERROR(__xludf.dummyfunction("""COMPUTED_VALUE"""),10008)</f>
        <v>10008</v>
      </c>
      <c r="F67" s="0" t="n">
        <f aca="false">IFERROR(__xludf.dummyfunction("""COMPUTED_VALUE"""),1210)</f>
        <v>1210</v>
      </c>
      <c r="G67" s="21" t="n">
        <f aca="false">IFERROR(__xludf.dummyfunction("""COMPUTED_VALUE"""),1)</f>
        <v>1</v>
      </c>
      <c r="H67" s="0" t="str">
        <f aca="false">"{""sku"":"""&amp;F67&amp;""",""req"":"&amp;G67&amp;"}"</f>
        <v>{"sku":"1210","req":1}</v>
      </c>
    </row>
    <row r="68" customFormat="false" ht="13" hidden="false" customHeight="false" outlineLevel="0" collapsed="false">
      <c r="A68" s="0" t="n">
        <f aca="false">IFERROR(__xludf.dummyfunction("""COMPUTED_VALUE"""),20002)</f>
        <v>20002</v>
      </c>
      <c r="B68" s="0" t="n">
        <f aca="false">IFERROR(__xludf.dummyfunction("""COMPUTED_VALUE"""),3)</f>
        <v>3</v>
      </c>
      <c r="C68" s="0" t="str">
        <f aca="false">IFERROR(__xludf.dummyfunction("if(B2=0,""""""formula"""":null"",""""""formula"""":[""&amp;JOIN("","",FILTER(H:H,E:E=A2))&amp;""]"")"),"""formula"":null")</f>
        <v>"formula":null</v>
      </c>
      <c r="E68" s="0" t="n">
        <f aca="false">IFERROR(__xludf.dummyfunction("""COMPUTED_VALUE"""),10008)</f>
        <v>10008</v>
      </c>
      <c r="F68" s="0" t="n">
        <f aca="false">IFERROR(__xludf.dummyfunction("""COMPUTED_VALUE"""),1211)</f>
        <v>1211</v>
      </c>
      <c r="G68" s="21" t="n">
        <f aca="false">IFERROR(__xludf.dummyfunction("""COMPUTED_VALUE"""),1)</f>
        <v>1</v>
      </c>
      <c r="H68" s="0" t="str">
        <f aca="false">"{""sku"":"""&amp;F68&amp;""",""req"":"&amp;G68&amp;"}"</f>
        <v>{"sku":"1211","req":1}</v>
      </c>
    </row>
    <row r="69" customFormat="false" ht="13" hidden="false" customHeight="false" outlineLevel="0" collapsed="false">
      <c r="A69" s="0" t="n">
        <f aca="false">IFERROR(__xludf.dummyfunction("""COMPUTED_VALUE"""),20003)</f>
        <v>20003</v>
      </c>
      <c r="B69" s="0" t="n">
        <f aca="false">IFERROR(__xludf.dummyfunction("""COMPUTED_VALUE"""),3)</f>
        <v>3</v>
      </c>
      <c r="C69" s="0" t="str">
        <f aca="false">IFERROR(__xludf.dummyfunction("if(B2=0,""""""formula"""":null"",""""""formula"""":[""&amp;JOIN("","",FILTER(H:H,E:E=A2))&amp;""]"")"),"""formula"":null")</f>
        <v>"formula":null</v>
      </c>
      <c r="E69" s="0" t="n">
        <f aca="false">IFERROR(__xludf.dummyfunction("""COMPUTED_VALUE"""),10008)</f>
        <v>10008</v>
      </c>
      <c r="F69" s="0" t="n">
        <f aca="false">IFERROR(__xludf.dummyfunction("""COMPUTED_VALUE"""),1116)</f>
        <v>1116</v>
      </c>
      <c r="G69" s="21" t="n">
        <f aca="false">IFERROR(__xludf.dummyfunction("""COMPUTED_VALUE"""),1)</f>
        <v>1</v>
      </c>
      <c r="H69" s="0" t="str">
        <f aca="false">"{""sku"":"""&amp;F69&amp;""",""req"":"&amp;G69&amp;"}"</f>
        <v>{"sku":"1116","req":1}</v>
      </c>
    </row>
    <row r="70" customFormat="false" ht="13" hidden="false" customHeight="false" outlineLevel="0" collapsed="false">
      <c r="A70" s="0" t="n">
        <f aca="false">IFERROR(__xludf.dummyfunction("""COMPUTED_VALUE"""),20004)</f>
        <v>20004</v>
      </c>
      <c r="B70" s="0" t="n">
        <f aca="false">IFERROR(__xludf.dummyfunction("""COMPUTED_VALUE"""),3)</f>
        <v>3</v>
      </c>
      <c r="C70" s="0" t="str">
        <f aca="false">IFERROR(__xludf.dummyfunction("if(B2=0,""""""formula"""":null"",""""""formula"""":[""&amp;JOIN("","",FILTER(H:H,E:E=A2))&amp;""]"")"),"""formula"":null")</f>
        <v>"formula":null</v>
      </c>
      <c r="E70" s="0" t="n">
        <f aca="false">IFERROR(__xludf.dummyfunction("""COMPUTED_VALUE"""),10009)</f>
        <v>10009</v>
      </c>
      <c r="F70" s="0" t="n">
        <f aca="false">IFERROR(__xludf.dummyfunction("""COMPUTED_VALUE"""),1201)</f>
        <v>1201</v>
      </c>
      <c r="G70" s="21" t="n">
        <f aca="false">IFERROR(__xludf.dummyfunction("""COMPUTED_VALUE"""),1)</f>
        <v>1</v>
      </c>
      <c r="H70" s="0" t="str">
        <f aca="false">"{""sku"":"""&amp;F70&amp;""",""req"":"&amp;G70&amp;"}"</f>
        <v>{"sku":"1201","req":1}</v>
      </c>
    </row>
    <row r="71" customFormat="false" ht="13" hidden="false" customHeight="false" outlineLevel="0" collapsed="false">
      <c r="A71" s="0" t="n">
        <f aca="false">IFERROR(__xludf.dummyfunction("""COMPUTED_VALUE"""),20005)</f>
        <v>20005</v>
      </c>
      <c r="B71" s="0" t="n">
        <f aca="false">IFERROR(__xludf.dummyfunction("""COMPUTED_VALUE"""),5)</f>
        <v>5</v>
      </c>
      <c r="C71" s="0" t="str">
        <f aca="false">IFERROR(__xludf.dummyfunction("if(B2=0,""""""formula"""":null"",""""""formula"""":[""&amp;JOIN("","",FILTER(H:H,E:E=A2))&amp;""]"")"),"""formula"":null")</f>
        <v>"formula":null</v>
      </c>
      <c r="E71" s="0" t="n">
        <f aca="false">IFERROR(__xludf.dummyfunction("""COMPUTED_VALUE"""),10009)</f>
        <v>10009</v>
      </c>
      <c r="F71" s="0" t="n">
        <f aca="false">IFERROR(__xludf.dummyfunction("""COMPUTED_VALUE"""),1109)</f>
        <v>1109</v>
      </c>
      <c r="G71" s="21" t="n">
        <f aca="false">IFERROR(__xludf.dummyfunction("""COMPUTED_VALUE"""),1)</f>
        <v>1</v>
      </c>
      <c r="H71" s="0" t="str">
        <f aca="false">"{""sku"":"""&amp;F71&amp;""",""req"":"&amp;G71&amp;"}"</f>
        <v>{"sku":"1109","req":1}</v>
      </c>
    </row>
    <row r="72" customFormat="false" ht="13" hidden="false" customHeight="false" outlineLevel="0" collapsed="false">
      <c r="A72" s="0" t="n">
        <f aca="false">IFERROR(__xludf.dummyfunction("""COMPUTED_VALUE"""),30001)</f>
        <v>30001</v>
      </c>
      <c r="B72" s="0" t="n">
        <f aca="false">IFERROR(__xludf.dummyfunction("""COMPUTED_VALUE"""),1)</f>
        <v>1</v>
      </c>
      <c r="C72" s="0" t="str">
        <f aca="false">IFERROR(__xludf.dummyfunction("if(B2=0,""""""formula"""":null"",""""""formula"""":[""&amp;JOIN("","",FILTER(H:H,E:E=A2))&amp;""]"")"),"""formula"":null")</f>
        <v>"formula":null</v>
      </c>
      <c r="E72" s="0" t="n">
        <f aca="false">IFERROR(__xludf.dummyfunction("""COMPUTED_VALUE"""),10009)</f>
        <v>10009</v>
      </c>
      <c r="F72" s="0" t="n">
        <f aca="false">IFERROR(__xludf.dummyfunction("""COMPUTED_VALUE"""),1013)</f>
        <v>1013</v>
      </c>
      <c r="G72" s="21" t="n">
        <f aca="false">IFERROR(__xludf.dummyfunction("""COMPUTED_VALUE"""),5)</f>
        <v>5</v>
      </c>
      <c r="H72" s="0" t="str">
        <f aca="false">"{""sku"":"""&amp;F72&amp;""",""req"":"&amp;G72&amp;"}"</f>
        <v>{"sku":"1013","req":5}</v>
      </c>
    </row>
    <row r="73" customFormat="false" ht="13" hidden="false" customHeight="false" outlineLevel="0" collapsed="false">
      <c r="A73" s="0" t="n">
        <f aca="false">IFERROR(__xludf.dummyfunction("""COMPUTED_VALUE"""),30002)</f>
        <v>30002</v>
      </c>
      <c r="B73" s="0" t="n">
        <f aca="false">IFERROR(__xludf.dummyfunction("""COMPUTED_VALUE"""),1)</f>
        <v>1</v>
      </c>
      <c r="C73" s="0" t="str">
        <f aca="false">IFERROR(__xludf.dummyfunction("if(B2=0,""""""formula"""":null"",""""""formula"""":[""&amp;JOIN("","",FILTER(H:H,E:E=A2))&amp;""]"")"),"""formula"":null")</f>
        <v>"formula":null</v>
      </c>
      <c r="E73" s="0" t="n">
        <f aca="false">IFERROR(__xludf.dummyfunction("""COMPUTED_VALUE"""),10009)</f>
        <v>10009</v>
      </c>
      <c r="F73" s="0" t="n">
        <f aca="false">IFERROR(__xludf.dummyfunction("""COMPUTED_VALUE"""),1210)</f>
        <v>1210</v>
      </c>
      <c r="G73" s="21" t="n">
        <f aca="false">IFERROR(__xludf.dummyfunction("""COMPUTED_VALUE"""),1)</f>
        <v>1</v>
      </c>
      <c r="H73" s="0" t="str">
        <f aca="false">"{""sku"":"""&amp;F73&amp;""",""req"":"&amp;G73&amp;"}"</f>
        <v>{"sku":"1210","req":1}</v>
      </c>
    </row>
    <row r="74" customFormat="false" ht="13" hidden="false" customHeight="false" outlineLevel="0" collapsed="false">
      <c r="A74" s="0" t="n">
        <f aca="false">IFERROR(__xludf.dummyfunction("""COMPUTED_VALUE"""),30003)</f>
        <v>30003</v>
      </c>
      <c r="B74" s="0" t="n">
        <f aca="false">IFERROR(__xludf.dummyfunction("""COMPUTED_VALUE"""),1)</f>
        <v>1</v>
      </c>
      <c r="C74" s="0" t="str">
        <f aca="false">IFERROR(__xludf.dummyfunction("if(B2=0,""""""formula"""":null"",""""""formula"""":[""&amp;JOIN("","",FILTER(H:H,E:E=A2))&amp;""]"")"),"""formula"":null")</f>
        <v>"formula":null</v>
      </c>
      <c r="E74" s="0" t="n">
        <f aca="false">IFERROR(__xludf.dummyfunction("""COMPUTED_VALUE"""),10009)</f>
        <v>10009</v>
      </c>
      <c r="F74" s="0" t="n">
        <f aca="false">IFERROR(__xludf.dummyfunction("""COMPUTED_VALUE"""),1116)</f>
        <v>1116</v>
      </c>
      <c r="G74" s="21" t="n">
        <f aca="false">IFERROR(__xludf.dummyfunction("""COMPUTED_VALUE"""),1)</f>
        <v>1</v>
      </c>
      <c r="H74" s="0" t="str">
        <f aca="false">"{""sku"":"""&amp;F74&amp;""",""req"":"&amp;G74&amp;"}"</f>
        <v>{"sku":"1116","req":1}</v>
      </c>
    </row>
    <row r="75" customFormat="false" ht="13" hidden="false" customHeight="false" outlineLevel="0" collapsed="false">
      <c r="A75" s="0" t="n">
        <f aca="false">IFERROR(__xludf.dummyfunction("""COMPUTED_VALUE"""),30004)</f>
        <v>30004</v>
      </c>
      <c r="B75" s="0" t="n">
        <f aca="false">IFERROR(__xludf.dummyfunction("""COMPUTED_VALUE"""),1)</f>
        <v>1</v>
      </c>
      <c r="C75" s="0" t="str">
        <f aca="false">IFERROR(__xludf.dummyfunction("if(B2=0,""""""formula"""":null"",""""""formula"""":[""&amp;JOIN("","",FILTER(H:H,E:E=A2))&amp;""]"")"),"""formula"":null")</f>
        <v>"formula":null</v>
      </c>
      <c r="E75" s="0" t="n">
        <f aca="false">IFERROR(__xludf.dummyfunction("""COMPUTED_VALUE"""),10010)</f>
        <v>10010</v>
      </c>
      <c r="F75" s="0" t="n">
        <f aca="false">IFERROR(__xludf.dummyfunction("""COMPUTED_VALUE"""),1201)</f>
        <v>1201</v>
      </c>
      <c r="G75" s="21" t="n">
        <f aca="false">IFERROR(__xludf.dummyfunction("""COMPUTED_VALUE"""),1)</f>
        <v>1</v>
      </c>
      <c r="H75" s="0" t="str">
        <f aca="false">"{""sku"":"""&amp;F75&amp;""",""req"":"&amp;G75&amp;"}"</f>
        <v>{"sku":"1201","req":1}</v>
      </c>
    </row>
    <row r="76" customFormat="false" ht="13" hidden="false" customHeight="false" outlineLevel="0" collapsed="false">
      <c r="A76" s="0" t="n">
        <f aca="false">IFERROR(__xludf.dummyfunction("""COMPUTED_VALUE"""),30005)</f>
        <v>30005</v>
      </c>
      <c r="B76" s="0" t="n">
        <f aca="false">IFERROR(__xludf.dummyfunction("""COMPUTED_VALUE"""),1)</f>
        <v>1</v>
      </c>
      <c r="C76" s="0" t="str">
        <f aca="false">IFERROR(__xludf.dummyfunction("if(B2=0,""""""formula"""":null"",""""""formula"""":[""&amp;JOIN("","",FILTER(H:H,E:E=A2))&amp;""]"")"),"""formula"":null")</f>
        <v>"formula":null</v>
      </c>
      <c r="E76" s="0" t="n">
        <f aca="false">IFERROR(__xludf.dummyfunction("""COMPUTED_VALUE"""),10010)</f>
        <v>10010</v>
      </c>
      <c r="F76" s="0" t="n">
        <f aca="false">IFERROR(__xludf.dummyfunction("""COMPUTED_VALUE"""),1106)</f>
        <v>1106</v>
      </c>
      <c r="G76" s="21" t="n">
        <f aca="false">IFERROR(__xludf.dummyfunction("""COMPUTED_VALUE"""),4)</f>
        <v>4</v>
      </c>
      <c r="H76" s="0" t="str">
        <f aca="false">"{""sku"":"""&amp;F76&amp;""",""req"":"&amp;G76&amp;"}"</f>
        <v>{"sku":"1106","req":4}</v>
      </c>
    </row>
    <row r="77" customFormat="false" ht="13" hidden="false" customHeight="false" outlineLevel="0" collapsed="false">
      <c r="A77" s="0" t="n">
        <f aca="false">IFERROR(__xludf.dummyfunction("""COMPUTED_VALUE"""),30006)</f>
        <v>30006</v>
      </c>
      <c r="B77" s="0" t="n">
        <f aca="false">IFERROR(__xludf.dummyfunction("""COMPUTED_VALUE"""),1)</f>
        <v>1</v>
      </c>
      <c r="C77" s="0" t="str">
        <f aca="false">IFERROR(__xludf.dummyfunction("if(B2=0,""""""formula"""":null"",""""""formula"""":[""&amp;JOIN("","",FILTER(H:H,E:E=A2))&amp;""]"")"),"""formula"":null")</f>
        <v>"formula":null</v>
      </c>
      <c r="E77" s="0" t="n">
        <f aca="false">IFERROR(__xludf.dummyfunction("""COMPUTED_VALUE"""),10010)</f>
        <v>10010</v>
      </c>
      <c r="F77" s="0" t="n">
        <f aca="false">IFERROR(__xludf.dummyfunction("""COMPUTED_VALUE"""),1210)</f>
        <v>1210</v>
      </c>
      <c r="G77" s="21" t="n">
        <f aca="false">IFERROR(__xludf.dummyfunction("""COMPUTED_VALUE"""),1)</f>
        <v>1</v>
      </c>
      <c r="H77" s="0" t="str">
        <f aca="false">"{""sku"":"""&amp;F77&amp;""",""req"":"&amp;G77&amp;"}"</f>
        <v>{"sku":"1210","req":1}</v>
      </c>
    </row>
    <row r="78" customFormat="false" ht="13" hidden="false" customHeight="false" outlineLevel="0" collapsed="false">
      <c r="A78" s="0" t="n">
        <f aca="false">IFERROR(__xludf.dummyfunction("""COMPUTED_VALUE"""),30007)</f>
        <v>30007</v>
      </c>
      <c r="B78" s="0" t="n">
        <f aca="false">IFERROR(__xludf.dummyfunction("""COMPUTED_VALUE"""),2)</f>
        <v>2</v>
      </c>
      <c r="C78" s="0" t="str">
        <f aca="false">IFERROR(__xludf.dummyfunction("if(B2=0,""""""formula"""":null"",""""""formula"""":[""&amp;JOIN("","",FILTER(H:H,E:E=A2))&amp;""]"")"),"""formula"":null")</f>
        <v>"formula":null</v>
      </c>
      <c r="E78" s="0" t="n">
        <f aca="false">IFERROR(__xludf.dummyfunction("""COMPUTED_VALUE"""),10010)</f>
        <v>10010</v>
      </c>
      <c r="F78" s="0" t="n">
        <f aca="false">IFERROR(__xludf.dummyfunction("""COMPUTED_VALUE"""),1110)</f>
        <v>1110</v>
      </c>
      <c r="G78" s="21" t="n">
        <f aca="false">IFERROR(__xludf.dummyfunction("""COMPUTED_VALUE"""),1)</f>
        <v>1</v>
      </c>
      <c r="H78" s="0" t="str">
        <f aca="false">"{""sku"":"""&amp;F78&amp;""",""req"":"&amp;G78&amp;"}"</f>
        <v>{"sku":"1110","req":1}</v>
      </c>
    </row>
    <row r="79" customFormat="false" ht="13" hidden="false" customHeight="false" outlineLevel="0" collapsed="false">
      <c r="A79" s="0" t="n">
        <f aca="false">IFERROR(__xludf.dummyfunction("""COMPUTED_VALUE"""),30008)</f>
        <v>30008</v>
      </c>
      <c r="B79" s="0" t="n">
        <f aca="false">IFERROR(__xludf.dummyfunction("""COMPUTED_VALUE"""),2)</f>
        <v>2</v>
      </c>
      <c r="C79" s="0" t="str">
        <f aca="false">IFERROR(__xludf.dummyfunction("if(B2=0,""""""formula"""":null"",""""""formula"""":[""&amp;JOIN("","",FILTER(H:H,E:E=A2))&amp;""]"")"),"""formula"":null")</f>
        <v>"formula":null</v>
      </c>
      <c r="E79" s="0" t="n">
        <f aca="false">IFERROR(__xludf.dummyfunction("""COMPUTED_VALUE"""),10010)</f>
        <v>10010</v>
      </c>
      <c r="F79" s="0" t="n">
        <f aca="false">IFERROR(__xludf.dummyfunction("""COMPUTED_VALUE"""),1116)</f>
        <v>1116</v>
      </c>
      <c r="G79" s="21" t="n">
        <f aca="false">IFERROR(__xludf.dummyfunction("""COMPUTED_VALUE"""),1)</f>
        <v>1</v>
      </c>
      <c r="H79" s="0" t="str">
        <f aca="false">"{""sku"":"""&amp;F79&amp;""",""req"":"&amp;G79&amp;"}"</f>
        <v>{"sku":"1116","req":1}</v>
      </c>
    </row>
    <row r="80" customFormat="false" ht="13" hidden="false" customHeight="false" outlineLevel="0" collapsed="false">
      <c r="E80" s="0" t="n">
        <f aca="false">IFERROR(__xludf.dummyfunction("""COMPUTED_VALUE"""),10011)</f>
        <v>10011</v>
      </c>
      <c r="F80" s="0" t="n">
        <f aca="false">IFERROR(__xludf.dummyfunction("""COMPUTED_VALUE"""),1201)</f>
        <v>1201</v>
      </c>
      <c r="G80" s="21" t="n">
        <f aca="false">IFERROR(__xludf.dummyfunction("""COMPUTED_VALUE"""),1)</f>
        <v>1</v>
      </c>
      <c r="H80" s="0" t="str">
        <f aca="false">"{""sku"":"""&amp;F80&amp;""",""req"":"&amp;G80&amp;"}"</f>
        <v>{"sku":"1201","req":1}</v>
      </c>
    </row>
    <row r="81" customFormat="false" ht="13" hidden="false" customHeight="false" outlineLevel="0" collapsed="false">
      <c r="E81" s="0" t="n">
        <f aca="false">IFERROR(__xludf.dummyfunction("""COMPUTED_VALUE"""),10011)</f>
        <v>10011</v>
      </c>
      <c r="F81" s="0" t="n">
        <f aca="false">IFERROR(__xludf.dummyfunction("""COMPUTED_VALUE"""),1106)</f>
        <v>1106</v>
      </c>
      <c r="G81" s="21" t="n">
        <f aca="false">IFERROR(__xludf.dummyfunction("""COMPUTED_VALUE"""),4)</f>
        <v>4</v>
      </c>
      <c r="H81" s="0" t="str">
        <f aca="false">"{""sku"":"""&amp;F81&amp;""",""req"":"&amp;G81&amp;"}"</f>
        <v>{"sku":"1106","req":4}</v>
      </c>
    </row>
    <row r="82" customFormat="false" ht="13" hidden="false" customHeight="false" outlineLevel="0" collapsed="false">
      <c r="E82" s="0" t="n">
        <f aca="false">IFERROR(__xludf.dummyfunction("""COMPUTED_VALUE"""),10011)</f>
        <v>10011</v>
      </c>
      <c r="F82" s="0" t="n">
        <f aca="false">IFERROR(__xludf.dummyfunction("""COMPUTED_VALUE"""),1114)</f>
        <v>1114</v>
      </c>
      <c r="G82" s="21" t="n">
        <f aca="false">IFERROR(__xludf.dummyfunction("""COMPUTED_VALUE"""),1)</f>
        <v>1</v>
      </c>
      <c r="H82" s="0" t="str">
        <f aca="false">"{""sku"":"""&amp;F82&amp;""",""req"":"&amp;G82&amp;"}"</f>
        <v>{"sku":"1114","req":1}</v>
      </c>
    </row>
    <row r="83" customFormat="false" ht="13" hidden="false" customHeight="false" outlineLevel="0" collapsed="false">
      <c r="E83" s="0" t="n">
        <f aca="false">IFERROR(__xludf.dummyfunction("""COMPUTED_VALUE"""),10011)</f>
        <v>10011</v>
      </c>
      <c r="F83" s="0" t="n">
        <f aca="false">IFERROR(__xludf.dummyfunction("""COMPUTED_VALUE"""),1110)</f>
        <v>1110</v>
      </c>
      <c r="G83" s="21" t="n">
        <f aca="false">IFERROR(__xludf.dummyfunction("""COMPUTED_VALUE"""),1)</f>
        <v>1</v>
      </c>
      <c r="H83" s="0" t="str">
        <f aca="false">"{""sku"":"""&amp;F83&amp;""",""req"":"&amp;G83&amp;"}"</f>
        <v>{"sku":"1110","req":1}</v>
      </c>
    </row>
    <row r="84" customFormat="false" ht="13" hidden="false" customHeight="false" outlineLevel="0" collapsed="false">
      <c r="E84" s="0" t="n">
        <f aca="false">IFERROR(__xludf.dummyfunction("""COMPUTED_VALUE"""),10011)</f>
        <v>10011</v>
      </c>
      <c r="F84" s="0" t="n">
        <f aca="false">IFERROR(__xludf.dummyfunction("""COMPUTED_VALUE"""),1112)</f>
        <v>1112</v>
      </c>
      <c r="G84" s="21" t="n">
        <f aca="false">IFERROR(__xludf.dummyfunction("""COMPUTED_VALUE"""),1)</f>
        <v>1</v>
      </c>
      <c r="H84" s="0" t="str">
        <f aca="false">"{""sku"":"""&amp;F84&amp;""",""req"":"&amp;G84&amp;"}"</f>
        <v>{"sku":"1112","req":1}</v>
      </c>
    </row>
    <row r="85" customFormat="false" ht="13" hidden="false" customHeight="false" outlineLevel="0" collapsed="false">
      <c r="E85" s="0" t="n">
        <f aca="false">IFERROR(__xludf.dummyfunction("""COMPUTED_VALUE"""),10011)</f>
        <v>10011</v>
      </c>
      <c r="F85" s="0" t="n">
        <f aca="false">IFERROR(__xludf.dummyfunction("""COMPUTED_VALUE"""),1116)</f>
        <v>1116</v>
      </c>
      <c r="G85" s="21" t="n">
        <f aca="false">IFERROR(__xludf.dummyfunction("""COMPUTED_VALUE"""),1)</f>
        <v>1</v>
      </c>
      <c r="H85" s="0" t="str">
        <f aca="false">"{""sku"":"""&amp;F85&amp;""",""req"":"&amp;G85&amp;"}"</f>
        <v>{"sku":"1116","req":1}</v>
      </c>
    </row>
    <row r="86" customFormat="false" ht="13" hidden="false" customHeight="false" outlineLevel="0" collapsed="false">
      <c r="E86" s="0" t="n">
        <f aca="false">IFERROR(__xludf.dummyfunction("""COMPUTED_VALUE"""),10012)</f>
        <v>10012</v>
      </c>
      <c r="F86" s="0" t="n">
        <f aca="false">IFERROR(__xludf.dummyfunction("""COMPUTED_VALUE"""),1201)</f>
        <v>1201</v>
      </c>
      <c r="G86" s="21" t="n">
        <f aca="false">IFERROR(__xludf.dummyfunction("""COMPUTED_VALUE"""),1)</f>
        <v>1</v>
      </c>
      <c r="H86" s="0" t="str">
        <f aca="false">"{""sku"":"""&amp;F86&amp;""",""req"":"&amp;G86&amp;"}"</f>
        <v>{"sku":"1201","req":1}</v>
      </c>
    </row>
    <row r="87" customFormat="false" ht="13" hidden="false" customHeight="false" outlineLevel="0" collapsed="false">
      <c r="E87" s="0" t="n">
        <f aca="false">IFERROR(__xludf.dummyfunction("""COMPUTED_VALUE"""),10012)</f>
        <v>10012</v>
      </c>
      <c r="F87" s="0" t="n">
        <f aca="false">IFERROR(__xludf.dummyfunction("""COMPUTED_VALUE"""),1106)</f>
        <v>1106</v>
      </c>
      <c r="G87" s="21" t="n">
        <f aca="false">IFERROR(__xludf.dummyfunction("""COMPUTED_VALUE"""),4)</f>
        <v>4</v>
      </c>
      <c r="H87" s="0" t="str">
        <f aca="false">"{""sku"":"""&amp;F87&amp;""",""req"":"&amp;G87&amp;"}"</f>
        <v>{"sku":"1106","req":4}</v>
      </c>
    </row>
    <row r="88" customFormat="false" ht="13" hidden="false" customHeight="false" outlineLevel="0" collapsed="false">
      <c r="E88" s="0" t="n">
        <f aca="false">IFERROR(__xludf.dummyfunction("""COMPUTED_VALUE"""),10012)</f>
        <v>10012</v>
      </c>
      <c r="F88" s="0" t="n">
        <f aca="false">IFERROR(__xludf.dummyfunction("""COMPUTED_VALUE"""),1110)</f>
        <v>1110</v>
      </c>
      <c r="G88" s="21" t="n">
        <f aca="false">IFERROR(__xludf.dummyfunction("""COMPUTED_VALUE"""),1)</f>
        <v>1</v>
      </c>
      <c r="H88" s="0" t="str">
        <f aca="false">"{""sku"":"""&amp;F88&amp;""",""req"":"&amp;G88&amp;"}"</f>
        <v>{"sku":"1110","req":1}</v>
      </c>
    </row>
    <row r="89" customFormat="false" ht="13" hidden="false" customHeight="false" outlineLevel="0" collapsed="false">
      <c r="E89" s="0" t="n">
        <f aca="false">IFERROR(__xludf.dummyfunction("""COMPUTED_VALUE"""),10012)</f>
        <v>10012</v>
      </c>
      <c r="F89" s="0" t="n">
        <f aca="false">IFERROR(__xludf.dummyfunction("""COMPUTED_VALUE"""),1112)</f>
        <v>1112</v>
      </c>
      <c r="G89" s="21" t="n">
        <f aca="false">IFERROR(__xludf.dummyfunction("""COMPUTED_VALUE"""),1)</f>
        <v>1</v>
      </c>
      <c r="H89" s="0" t="str">
        <f aca="false">"{""sku"":"""&amp;F89&amp;""",""req"":"&amp;G89&amp;"}"</f>
        <v>{"sku":"1112","req":1}</v>
      </c>
    </row>
    <row r="90" customFormat="false" ht="13" hidden="false" customHeight="false" outlineLevel="0" collapsed="false">
      <c r="E90" s="0" t="n">
        <f aca="false">IFERROR(__xludf.dummyfunction("""COMPUTED_VALUE"""),10012)</f>
        <v>10012</v>
      </c>
      <c r="F90" s="0" t="n">
        <f aca="false">IFERROR(__xludf.dummyfunction("""COMPUTED_VALUE"""),1108)</f>
        <v>1108</v>
      </c>
      <c r="G90" s="21" t="n">
        <f aca="false">IFERROR(__xludf.dummyfunction("""COMPUTED_VALUE"""),1)</f>
        <v>1</v>
      </c>
      <c r="H90" s="0" t="str">
        <f aca="false">"{""sku"":"""&amp;F90&amp;""",""req"":"&amp;G90&amp;"}"</f>
        <v>{"sku":"1108","req":1}</v>
      </c>
    </row>
    <row r="91" customFormat="false" ht="13" hidden="false" customHeight="false" outlineLevel="0" collapsed="false">
      <c r="E91" s="0" t="n">
        <f aca="false">IFERROR(__xludf.dummyfunction("""COMPUTED_VALUE"""),10012)</f>
        <v>10012</v>
      </c>
      <c r="F91" s="0" t="n">
        <f aca="false">IFERROR(__xludf.dummyfunction("""COMPUTED_VALUE"""),1116)</f>
        <v>1116</v>
      </c>
      <c r="G91" s="21" t="n">
        <f aca="false">IFERROR(__xludf.dummyfunction("""COMPUTED_VALUE"""),1)</f>
        <v>1</v>
      </c>
      <c r="H91" s="0" t="str">
        <f aca="false">"{""sku"":"""&amp;F91&amp;""",""req"":"&amp;G91&amp;"}"</f>
        <v>{"sku":"1116","req":1}</v>
      </c>
    </row>
    <row r="92" customFormat="false" ht="13" hidden="false" customHeight="false" outlineLevel="0" collapsed="false">
      <c r="E92" s="0" t="n">
        <f aca="false">IFERROR(__xludf.dummyfunction("""COMPUTED_VALUE"""),10013)</f>
        <v>10013</v>
      </c>
      <c r="F92" s="0" t="n">
        <f aca="false">IFERROR(__xludf.dummyfunction("""COMPUTED_VALUE"""),1201)</f>
        <v>1201</v>
      </c>
      <c r="G92" s="21" t="n">
        <f aca="false">IFERROR(__xludf.dummyfunction("""COMPUTED_VALUE"""),1)</f>
        <v>1</v>
      </c>
      <c r="H92" s="0" t="str">
        <f aca="false">"{""sku"":"""&amp;F92&amp;""",""req"":"&amp;G92&amp;"}"</f>
        <v>{"sku":"1201","req":1}</v>
      </c>
    </row>
    <row r="93" customFormat="false" ht="13" hidden="false" customHeight="false" outlineLevel="0" collapsed="false">
      <c r="E93" s="0" t="n">
        <f aca="false">IFERROR(__xludf.dummyfunction("""COMPUTED_VALUE"""),10013)</f>
        <v>10013</v>
      </c>
      <c r="F93" s="0" t="n">
        <f aca="false">IFERROR(__xludf.dummyfunction("""COMPUTED_VALUE"""),1106)</f>
        <v>1106</v>
      </c>
      <c r="G93" s="21" t="n">
        <f aca="false">IFERROR(__xludf.dummyfunction("""COMPUTED_VALUE"""),4)</f>
        <v>4</v>
      </c>
      <c r="H93" s="0" t="str">
        <f aca="false">"{""sku"":"""&amp;F93&amp;""",""req"":"&amp;G93&amp;"}"</f>
        <v>{"sku":"1106","req":4}</v>
      </c>
    </row>
    <row r="94" customFormat="false" ht="13" hidden="false" customHeight="false" outlineLevel="0" collapsed="false">
      <c r="E94" s="0" t="n">
        <f aca="false">IFERROR(__xludf.dummyfunction("""COMPUTED_VALUE"""),10013)</f>
        <v>10013</v>
      </c>
      <c r="F94" s="0" t="n">
        <f aca="false">IFERROR(__xludf.dummyfunction("""COMPUTED_VALUE"""),1110)</f>
        <v>1110</v>
      </c>
      <c r="G94" s="21" t="n">
        <f aca="false">IFERROR(__xludf.dummyfunction("""COMPUTED_VALUE"""),1)</f>
        <v>1</v>
      </c>
      <c r="H94" s="0" t="str">
        <f aca="false">"{""sku"":"""&amp;F94&amp;""",""req"":"&amp;G94&amp;"}"</f>
        <v>{"sku":"1110","req":1}</v>
      </c>
    </row>
    <row r="95" customFormat="false" ht="13" hidden="false" customHeight="false" outlineLevel="0" collapsed="false">
      <c r="E95" s="0" t="n">
        <f aca="false">IFERROR(__xludf.dummyfunction("""COMPUTED_VALUE"""),10013)</f>
        <v>10013</v>
      </c>
      <c r="F95" s="0" t="n">
        <f aca="false">IFERROR(__xludf.dummyfunction("""COMPUTED_VALUE"""),1112)</f>
        <v>1112</v>
      </c>
      <c r="G95" s="21" t="n">
        <f aca="false">IFERROR(__xludf.dummyfunction("""COMPUTED_VALUE"""),1)</f>
        <v>1</v>
      </c>
      <c r="H95" s="0" t="str">
        <f aca="false">"{""sku"":"""&amp;F95&amp;""",""req"":"&amp;G95&amp;"}"</f>
        <v>{"sku":"1112","req":1}</v>
      </c>
    </row>
    <row r="96" customFormat="false" ht="13" hidden="false" customHeight="false" outlineLevel="0" collapsed="false">
      <c r="E96" s="0" t="n">
        <f aca="false">IFERROR(__xludf.dummyfunction("""COMPUTED_VALUE"""),10013)</f>
        <v>10013</v>
      </c>
      <c r="F96" s="0" t="n">
        <f aca="false">IFERROR(__xludf.dummyfunction("""COMPUTED_VALUE"""),1116)</f>
        <v>1116</v>
      </c>
      <c r="G96" s="21" t="n">
        <f aca="false">IFERROR(__xludf.dummyfunction("""COMPUTED_VALUE"""),1)</f>
        <v>1</v>
      </c>
      <c r="H96" s="0" t="str">
        <f aca="false">"{""sku"":"""&amp;F96&amp;""",""req"":"&amp;G96&amp;"}"</f>
        <v>{"sku":"1116","req":1}</v>
      </c>
    </row>
    <row r="97" customFormat="false" ht="13" hidden="false" customHeight="false" outlineLevel="0" collapsed="false">
      <c r="E97" s="0" t="n">
        <f aca="false">IFERROR(__xludf.dummyfunction("""COMPUTED_VALUE"""),10014)</f>
        <v>10014</v>
      </c>
      <c r="F97" s="0" t="n">
        <f aca="false">IFERROR(__xludf.dummyfunction("""COMPUTED_VALUE"""),1201)</f>
        <v>1201</v>
      </c>
      <c r="G97" s="21" t="n">
        <f aca="false">IFERROR(__xludf.dummyfunction("""COMPUTED_VALUE"""),1)</f>
        <v>1</v>
      </c>
      <c r="H97" s="0" t="str">
        <f aca="false">"{""sku"":"""&amp;F97&amp;""",""req"":"&amp;G97&amp;"}"</f>
        <v>{"sku":"1201","req":1}</v>
      </c>
    </row>
    <row r="98" customFormat="false" ht="13" hidden="false" customHeight="false" outlineLevel="0" collapsed="false">
      <c r="E98" s="0" t="n">
        <f aca="false">IFERROR(__xludf.dummyfunction("""COMPUTED_VALUE"""),10014)</f>
        <v>10014</v>
      </c>
      <c r="F98" s="0" t="n">
        <f aca="false">IFERROR(__xludf.dummyfunction("""COMPUTED_VALUE"""),1105)</f>
        <v>1105</v>
      </c>
      <c r="G98" s="21" t="n">
        <f aca="false">IFERROR(__xludf.dummyfunction("""COMPUTED_VALUE"""),1)</f>
        <v>1</v>
      </c>
      <c r="H98" s="0" t="str">
        <f aca="false">"{""sku"":"""&amp;F98&amp;""",""req"":"&amp;G98&amp;"}"</f>
        <v>{"sku":"1105","req":1}</v>
      </c>
    </row>
    <row r="99" customFormat="false" ht="13" hidden="false" customHeight="false" outlineLevel="0" collapsed="false">
      <c r="E99" s="0" t="n">
        <f aca="false">IFERROR(__xludf.dummyfunction("""COMPUTED_VALUE"""),10014)</f>
        <v>10014</v>
      </c>
      <c r="F99" s="0" t="n">
        <f aca="false">IFERROR(__xludf.dummyfunction("""COMPUTED_VALUE"""),1110)</f>
        <v>1110</v>
      </c>
      <c r="G99" s="21" t="n">
        <f aca="false">IFERROR(__xludf.dummyfunction("""COMPUTED_VALUE"""),1)</f>
        <v>1</v>
      </c>
      <c r="H99" s="0" t="str">
        <f aca="false">"{""sku"":"""&amp;F99&amp;""",""req"":"&amp;G99&amp;"}"</f>
        <v>{"sku":"1110","req":1}</v>
      </c>
    </row>
    <row r="100" customFormat="false" ht="13" hidden="false" customHeight="false" outlineLevel="0" collapsed="false">
      <c r="E100" s="0" t="n">
        <f aca="false">IFERROR(__xludf.dummyfunction("""COMPUTED_VALUE"""),10014)</f>
        <v>10014</v>
      </c>
      <c r="F100" s="0" t="n">
        <f aca="false">IFERROR(__xludf.dummyfunction("""COMPUTED_VALUE"""),1112)</f>
        <v>1112</v>
      </c>
      <c r="G100" s="21" t="n">
        <f aca="false">IFERROR(__xludf.dummyfunction("""COMPUTED_VALUE"""),1)</f>
        <v>1</v>
      </c>
      <c r="H100" s="0" t="str">
        <f aca="false">"{""sku"":"""&amp;F100&amp;""",""req"":"&amp;G100&amp;"}"</f>
        <v>{"sku":"1112","req":1}</v>
      </c>
    </row>
    <row r="101" customFormat="false" ht="13" hidden="false" customHeight="false" outlineLevel="0" collapsed="false">
      <c r="E101" s="0" t="n">
        <f aca="false">IFERROR(__xludf.dummyfunction("""COMPUTED_VALUE"""),10014)</f>
        <v>10014</v>
      </c>
      <c r="F101" s="0" t="n">
        <f aca="false">IFERROR(__xludf.dummyfunction("""COMPUTED_VALUE"""),1116)</f>
        <v>1116</v>
      </c>
      <c r="G101" s="21" t="n">
        <f aca="false">IFERROR(__xludf.dummyfunction("""COMPUTED_VALUE"""),1)</f>
        <v>1</v>
      </c>
      <c r="H101" s="0" t="str">
        <f aca="false">"{""sku"":"""&amp;F101&amp;""",""req"":"&amp;G101&amp;"}"</f>
        <v>{"sku":"1116","req":1}</v>
      </c>
    </row>
    <row r="102" customFormat="false" ht="13" hidden="false" customHeight="false" outlineLevel="0" collapsed="false">
      <c r="E102" s="0" t="n">
        <f aca="false">IFERROR(__xludf.dummyfunction("""COMPUTED_VALUE"""),10015)</f>
        <v>10015</v>
      </c>
      <c r="F102" s="0" t="n">
        <f aca="false">IFERROR(__xludf.dummyfunction("""COMPUTED_VALUE"""),1201)</f>
        <v>1201</v>
      </c>
      <c r="G102" s="21" t="n">
        <f aca="false">IFERROR(__xludf.dummyfunction("""COMPUTED_VALUE"""),1)</f>
        <v>1</v>
      </c>
      <c r="H102" s="0" t="str">
        <f aca="false">"{""sku"":"""&amp;F102&amp;""",""req"":"&amp;G102&amp;"}"</f>
        <v>{"sku":"1201","req":1}</v>
      </c>
    </row>
    <row r="103" customFormat="false" ht="13" hidden="false" customHeight="false" outlineLevel="0" collapsed="false">
      <c r="E103" s="0" t="n">
        <f aca="false">IFERROR(__xludf.dummyfunction("""COMPUTED_VALUE"""),10015)</f>
        <v>10015</v>
      </c>
      <c r="F103" s="0" t="n">
        <f aca="false">IFERROR(__xludf.dummyfunction("""COMPUTED_VALUE"""),1109)</f>
        <v>1109</v>
      </c>
      <c r="G103" s="21" t="n">
        <f aca="false">IFERROR(__xludf.dummyfunction("""COMPUTED_VALUE"""),1)</f>
        <v>1</v>
      </c>
      <c r="H103" s="0" t="str">
        <f aca="false">"{""sku"":"""&amp;F103&amp;""",""req"":"&amp;G103&amp;"}"</f>
        <v>{"sku":"1109","req":1}</v>
      </c>
    </row>
    <row r="104" customFormat="false" ht="13" hidden="false" customHeight="false" outlineLevel="0" collapsed="false">
      <c r="E104" s="0" t="n">
        <f aca="false">IFERROR(__xludf.dummyfunction("""COMPUTED_VALUE"""),10015)</f>
        <v>10015</v>
      </c>
      <c r="F104" s="0" t="n">
        <f aca="false">IFERROR(__xludf.dummyfunction("""COMPUTED_VALUE"""),1115)</f>
        <v>1115</v>
      </c>
      <c r="G104" s="21" t="n">
        <f aca="false">IFERROR(__xludf.dummyfunction("""COMPUTED_VALUE"""),1)</f>
        <v>1</v>
      </c>
      <c r="H104" s="0" t="str">
        <f aca="false">"{""sku"":"""&amp;F104&amp;""",""req"":"&amp;G104&amp;"}"</f>
        <v>{"sku":"1115","req":1}</v>
      </c>
    </row>
    <row r="105" customFormat="false" ht="13" hidden="false" customHeight="false" outlineLevel="0" collapsed="false">
      <c r="E105" s="0" t="n">
        <f aca="false">IFERROR(__xludf.dummyfunction("""COMPUTED_VALUE"""),10015)</f>
        <v>10015</v>
      </c>
      <c r="F105" s="0" t="n">
        <f aca="false">IFERROR(__xludf.dummyfunction("""COMPUTED_VALUE"""),1110)</f>
        <v>1110</v>
      </c>
      <c r="G105" s="21" t="n">
        <f aca="false">IFERROR(__xludf.dummyfunction("""COMPUTED_VALUE"""),1)</f>
        <v>1</v>
      </c>
      <c r="H105" s="0" t="str">
        <f aca="false">"{""sku"":"""&amp;F105&amp;""",""req"":"&amp;G105&amp;"}"</f>
        <v>{"sku":"1110","req":1}</v>
      </c>
    </row>
    <row r="106" customFormat="false" ht="13" hidden="false" customHeight="false" outlineLevel="0" collapsed="false">
      <c r="E106" s="0" t="n">
        <f aca="false">IFERROR(__xludf.dummyfunction("""COMPUTED_VALUE"""),10015)</f>
        <v>10015</v>
      </c>
      <c r="F106" s="0" t="n">
        <f aca="false">IFERROR(__xludf.dummyfunction("""COMPUTED_VALUE"""),1112)</f>
        <v>1112</v>
      </c>
      <c r="G106" s="21" t="n">
        <f aca="false">IFERROR(__xludf.dummyfunction("""COMPUTED_VALUE"""),1)</f>
        <v>1</v>
      </c>
      <c r="H106" s="0" t="str">
        <f aca="false">"{""sku"":"""&amp;F106&amp;""",""req"":"&amp;G106&amp;"}"</f>
        <v>{"sku":"1112","req":1}</v>
      </c>
    </row>
    <row r="107" customFormat="false" ht="13" hidden="false" customHeight="false" outlineLevel="0" collapsed="false">
      <c r="E107" s="0" t="n">
        <f aca="false">IFERROR(__xludf.dummyfunction("""COMPUTED_VALUE"""),10015)</f>
        <v>10015</v>
      </c>
      <c r="F107" s="0" t="n">
        <f aca="false">IFERROR(__xludf.dummyfunction("""COMPUTED_VALUE"""),1116)</f>
        <v>1116</v>
      </c>
      <c r="G107" s="21" t="n">
        <f aca="false">IFERROR(__xludf.dummyfunction("""COMPUTED_VALUE"""),1)</f>
        <v>1</v>
      </c>
      <c r="H107" s="0" t="str">
        <f aca="false">"{""sku"":"""&amp;F107&amp;""",""req"":"&amp;G107&amp;"}"</f>
        <v>{"sku":"1116","req":1}</v>
      </c>
    </row>
    <row r="108" customFormat="false" ht="13" hidden="false" customHeight="false" outlineLevel="0" collapsed="false">
      <c r="E108" s="0" t="n">
        <f aca="false">IFERROR(__xludf.dummyfunction("""COMPUTED_VALUE"""),10016)</f>
        <v>10016</v>
      </c>
      <c r="F108" s="0" t="n">
        <f aca="false">IFERROR(__xludf.dummyfunction("""COMPUTED_VALUE"""),1201)</f>
        <v>1201</v>
      </c>
      <c r="G108" s="21" t="n">
        <f aca="false">IFERROR(__xludf.dummyfunction("""COMPUTED_VALUE"""),1)</f>
        <v>1</v>
      </c>
      <c r="H108" s="0" t="str">
        <f aca="false">"{""sku"":"""&amp;F108&amp;""",""req"":"&amp;G108&amp;"}"</f>
        <v>{"sku":"1201","req":1}</v>
      </c>
    </row>
    <row r="109" customFormat="false" ht="13" hidden="false" customHeight="false" outlineLevel="0" collapsed="false">
      <c r="E109" s="0" t="n">
        <f aca="false">IFERROR(__xludf.dummyfunction("""COMPUTED_VALUE"""),10016)</f>
        <v>10016</v>
      </c>
      <c r="F109" s="0" t="n">
        <f aca="false">IFERROR(__xludf.dummyfunction("""COMPUTED_VALUE"""),1106)</f>
        <v>1106</v>
      </c>
      <c r="G109" s="21" t="n">
        <f aca="false">IFERROR(__xludf.dummyfunction("""COMPUTED_VALUE"""),4)</f>
        <v>4</v>
      </c>
      <c r="H109" s="0" t="str">
        <f aca="false">"{""sku"":"""&amp;F109&amp;""",""req"":"&amp;G109&amp;"}"</f>
        <v>{"sku":"1106","req":4}</v>
      </c>
    </row>
    <row r="110" customFormat="false" ht="13" hidden="false" customHeight="false" outlineLevel="0" collapsed="false">
      <c r="E110" s="0" t="n">
        <f aca="false">IFERROR(__xludf.dummyfunction("""COMPUTED_VALUE"""),10016)</f>
        <v>10016</v>
      </c>
      <c r="F110" s="0" t="n">
        <f aca="false">IFERROR(__xludf.dummyfunction("""COMPUTED_VALUE"""),1110)</f>
        <v>1110</v>
      </c>
      <c r="G110" s="21" t="n">
        <f aca="false">IFERROR(__xludf.dummyfunction("""COMPUTED_VALUE"""),1)</f>
        <v>1</v>
      </c>
      <c r="H110" s="0" t="str">
        <f aca="false">"{""sku"":"""&amp;F110&amp;""",""req"":"&amp;G110&amp;"}"</f>
        <v>{"sku":"1110","req":1}</v>
      </c>
    </row>
    <row r="111" customFormat="false" ht="13" hidden="false" customHeight="false" outlineLevel="0" collapsed="false">
      <c r="E111" s="0" t="n">
        <f aca="false">IFERROR(__xludf.dummyfunction("""COMPUTED_VALUE"""),10016)</f>
        <v>10016</v>
      </c>
      <c r="F111" s="0" t="n">
        <f aca="false">IFERROR(__xludf.dummyfunction("""COMPUTED_VALUE"""),1112)</f>
        <v>1112</v>
      </c>
      <c r="G111" s="21" t="n">
        <f aca="false">IFERROR(__xludf.dummyfunction("""COMPUTED_VALUE"""),1)</f>
        <v>1</v>
      </c>
      <c r="H111" s="0" t="str">
        <f aca="false">"{""sku"":"""&amp;F111&amp;""",""req"":"&amp;G111&amp;"}"</f>
        <v>{"sku":"1112","req":1}</v>
      </c>
    </row>
    <row r="112" customFormat="false" ht="13" hidden="false" customHeight="false" outlineLevel="0" collapsed="false">
      <c r="E112" s="0" t="n">
        <f aca="false">IFERROR(__xludf.dummyfunction("""COMPUTED_VALUE"""),10016)</f>
        <v>10016</v>
      </c>
      <c r="F112" s="0" t="n">
        <f aca="false">IFERROR(__xludf.dummyfunction("""COMPUTED_VALUE"""),1107)</f>
        <v>1107</v>
      </c>
      <c r="G112" s="21" t="n">
        <f aca="false">IFERROR(__xludf.dummyfunction("""COMPUTED_VALUE"""),1)</f>
        <v>1</v>
      </c>
      <c r="H112" s="0" t="str">
        <f aca="false">"{""sku"":"""&amp;F112&amp;""",""req"":"&amp;G112&amp;"}"</f>
        <v>{"sku":"1107","req":1}</v>
      </c>
    </row>
    <row r="113" customFormat="false" ht="13" hidden="false" customHeight="false" outlineLevel="0" collapsed="false">
      <c r="E113" s="0" t="n">
        <f aca="false">IFERROR(__xludf.dummyfunction("""COMPUTED_VALUE"""),10016)</f>
        <v>10016</v>
      </c>
      <c r="F113" s="0" t="n">
        <f aca="false">IFERROR(__xludf.dummyfunction("""COMPUTED_VALUE"""),1116)</f>
        <v>1116</v>
      </c>
      <c r="G113" s="21" t="n">
        <f aca="false">IFERROR(__xludf.dummyfunction("""COMPUTED_VALUE"""),1)</f>
        <v>1</v>
      </c>
      <c r="H113" s="0" t="str">
        <f aca="false">"{""sku"":"""&amp;F113&amp;""",""req"":"&amp;G113&amp;"}"</f>
        <v>{"sku":"1116","req":1}</v>
      </c>
    </row>
    <row r="114" customFormat="false" ht="13" hidden="false" customHeight="false" outlineLevel="0" collapsed="false">
      <c r="E114" s="0" t="n">
        <f aca="false">IFERROR(__xludf.dummyfunction("""COMPUTED_VALUE"""),10017)</f>
        <v>10017</v>
      </c>
      <c r="F114" s="0" t="n">
        <f aca="false">IFERROR(__xludf.dummyfunction("""COMPUTED_VALUE"""),1201)</f>
        <v>1201</v>
      </c>
      <c r="G114" s="21" t="n">
        <f aca="false">IFERROR(__xludf.dummyfunction("""COMPUTED_VALUE"""),1)</f>
        <v>1</v>
      </c>
      <c r="H114" s="0" t="str">
        <f aca="false">"{""sku"":"""&amp;F114&amp;""",""req"":"&amp;G114&amp;"}"</f>
        <v>{"sku":"1201","req":1}</v>
      </c>
    </row>
    <row r="115" customFormat="false" ht="13" hidden="false" customHeight="false" outlineLevel="0" collapsed="false">
      <c r="E115" s="0" t="n">
        <f aca="false">IFERROR(__xludf.dummyfunction("""COMPUTED_VALUE"""),10017)</f>
        <v>10017</v>
      </c>
      <c r="F115" s="0" t="n">
        <f aca="false">IFERROR(__xludf.dummyfunction("""COMPUTED_VALUE"""),1110)</f>
        <v>1110</v>
      </c>
      <c r="G115" s="21" t="n">
        <f aca="false">IFERROR(__xludf.dummyfunction("""COMPUTED_VALUE"""),1)</f>
        <v>1</v>
      </c>
      <c r="H115" s="0" t="str">
        <f aca="false">"{""sku"":"""&amp;F115&amp;""",""req"":"&amp;G115&amp;"}"</f>
        <v>{"sku":"1110","req":1}</v>
      </c>
    </row>
    <row r="116" customFormat="false" ht="13" hidden="false" customHeight="false" outlineLevel="0" collapsed="false">
      <c r="E116" s="0" t="n">
        <f aca="false">IFERROR(__xludf.dummyfunction("""COMPUTED_VALUE"""),10017)</f>
        <v>10017</v>
      </c>
      <c r="F116" s="0" t="n">
        <f aca="false">IFERROR(__xludf.dummyfunction("""COMPUTED_VALUE"""),1112)</f>
        <v>1112</v>
      </c>
      <c r="G116" s="21" t="n">
        <f aca="false">IFERROR(__xludf.dummyfunction("""COMPUTED_VALUE"""),1)</f>
        <v>1</v>
      </c>
      <c r="H116" s="0" t="str">
        <f aca="false">"{""sku"":"""&amp;F116&amp;""",""req"":"&amp;G116&amp;"}"</f>
        <v>{"sku":"1112","req":1}</v>
      </c>
    </row>
    <row r="117" customFormat="false" ht="13" hidden="false" customHeight="false" outlineLevel="0" collapsed="false">
      <c r="E117" s="0" t="n">
        <f aca="false">IFERROR(__xludf.dummyfunction("""COMPUTED_VALUE"""),10017)</f>
        <v>10017</v>
      </c>
      <c r="F117" s="0" t="n">
        <f aca="false">IFERROR(__xludf.dummyfunction("""COMPUTED_VALUE"""),1107)</f>
        <v>1107</v>
      </c>
      <c r="G117" s="21" t="n">
        <f aca="false">IFERROR(__xludf.dummyfunction("""COMPUTED_VALUE"""),1)</f>
        <v>1</v>
      </c>
      <c r="H117" s="0" t="str">
        <f aca="false">"{""sku"":"""&amp;F117&amp;""",""req"":"&amp;G117&amp;"}"</f>
        <v>{"sku":"1107","req":1}</v>
      </c>
    </row>
    <row r="118" customFormat="false" ht="13" hidden="false" customHeight="false" outlineLevel="0" collapsed="false">
      <c r="E118" s="0" t="n">
        <f aca="false">IFERROR(__xludf.dummyfunction("""COMPUTED_VALUE"""),10017)</f>
        <v>10017</v>
      </c>
      <c r="F118" s="0" t="n">
        <f aca="false">IFERROR(__xludf.dummyfunction("""COMPUTED_VALUE"""),1116)</f>
        <v>1116</v>
      </c>
      <c r="G118" s="21" t="n">
        <f aca="false">IFERROR(__xludf.dummyfunction("""COMPUTED_VALUE"""),1)</f>
        <v>1</v>
      </c>
      <c r="H118" s="0" t="str">
        <f aca="false">"{""sku"":"""&amp;F118&amp;""",""req"":"&amp;G118&amp;"}"</f>
        <v>{"sku":"1116","req":1}</v>
      </c>
    </row>
    <row r="119" customFormat="false" ht="13" hidden="false" customHeight="false" outlineLevel="0" collapsed="false">
      <c r="E119" s="0" t="n">
        <f aca="false">IFERROR(__xludf.dummyfunction("""COMPUTED_VALUE"""),10018)</f>
        <v>10018</v>
      </c>
      <c r="F119" s="0" t="n">
        <f aca="false">IFERROR(__xludf.dummyfunction("""COMPUTED_VALUE"""),1201)</f>
        <v>1201</v>
      </c>
      <c r="G119" s="21" t="n">
        <f aca="false">IFERROR(__xludf.dummyfunction("""COMPUTED_VALUE"""),1)</f>
        <v>1</v>
      </c>
      <c r="H119" s="0" t="str">
        <f aca="false">"{""sku"":"""&amp;F119&amp;""",""req"":"&amp;G119&amp;"}"</f>
        <v>{"sku":"1201","req":1}</v>
      </c>
    </row>
    <row r="120" customFormat="false" ht="13" hidden="false" customHeight="false" outlineLevel="0" collapsed="false">
      <c r="E120" s="0" t="n">
        <f aca="false">IFERROR(__xludf.dummyfunction("""COMPUTED_VALUE"""),10018)</f>
        <v>10018</v>
      </c>
      <c r="F120" s="0" t="n">
        <f aca="false">IFERROR(__xludf.dummyfunction("""COMPUTED_VALUE"""),1105)</f>
        <v>1105</v>
      </c>
      <c r="G120" s="21" t="n">
        <f aca="false">IFERROR(__xludf.dummyfunction("""COMPUTED_VALUE"""),1)</f>
        <v>1</v>
      </c>
      <c r="H120" s="0" t="str">
        <f aca="false">"{""sku"":"""&amp;F120&amp;""",""req"":"&amp;G120&amp;"}"</f>
        <v>{"sku":"1105","req":1}</v>
      </c>
    </row>
    <row r="121" customFormat="false" ht="13" hidden="false" customHeight="false" outlineLevel="0" collapsed="false">
      <c r="E121" s="0" t="n">
        <f aca="false">IFERROR(__xludf.dummyfunction("""COMPUTED_VALUE"""),10018)</f>
        <v>10018</v>
      </c>
      <c r="F121" s="0" t="n">
        <f aca="false">IFERROR(__xludf.dummyfunction("""COMPUTED_VALUE"""),1112)</f>
        <v>1112</v>
      </c>
      <c r="G121" s="21" t="n">
        <f aca="false">IFERROR(__xludf.dummyfunction("""COMPUTED_VALUE"""),1)</f>
        <v>1</v>
      </c>
      <c r="H121" s="0" t="str">
        <f aca="false">"{""sku"":"""&amp;F121&amp;""",""req"":"&amp;G121&amp;"}"</f>
        <v>{"sku":"1112","req":1}</v>
      </c>
    </row>
    <row r="122" customFormat="false" ht="13" hidden="false" customHeight="false" outlineLevel="0" collapsed="false">
      <c r="E122" s="0" t="n">
        <f aca="false">IFERROR(__xludf.dummyfunction("""COMPUTED_VALUE"""),10018)</f>
        <v>10018</v>
      </c>
      <c r="F122" s="0" t="n">
        <f aca="false">IFERROR(__xludf.dummyfunction("""COMPUTED_VALUE"""),1407)</f>
        <v>1407</v>
      </c>
      <c r="G122" s="21" t="n">
        <f aca="false">IFERROR(__xludf.dummyfunction("""COMPUTED_VALUE"""),1)</f>
        <v>1</v>
      </c>
      <c r="H122" s="0" t="str">
        <f aca="false">"{""sku"":"""&amp;F122&amp;""",""req"":"&amp;G122&amp;"}"</f>
        <v>{"sku":"1407","req":1}</v>
      </c>
    </row>
    <row r="123" customFormat="false" ht="13" hidden="false" customHeight="false" outlineLevel="0" collapsed="false">
      <c r="E123" s="0" t="n">
        <f aca="false">IFERROR(__xludf.dummyfunction("""COMPUTED_VALUE"""),10018)</f>
        <v>10018</v>
      </c>
      <c r="F123" s="0" t="n">
        <f aca="false">IFERROR(__xludf.dummyfunction("""COMPUTED_VALUE"""),1116)</f>
        <v>1116</v>
      </c>
      <c r="G123" s="21" t="n">
        <f aca="false">IFERROR(__xludf.dummyfunction("""COMPUTED_VALUE"""),1)</f>
        <v>1</v>
      </c>
      <c r="H123" s="0" t="str">
        <f aca="false">"{""sku"":"""&amp;F123&amp;""",""req"":"&amp;G123&amp;"}"</f>
        <v>{"sku":"1116","req":1}</v>
      </c>
    </row>
    <row r="124" customFormat="false" ht="13" hidden="false" customHeight="false" outlineLevel="0" collapsed="false">
      <c r="E124" s="0" t="n">
        <f aca="false">IFERROR(__xludf.dummyfunction("""COMPUTED_VALUE"""),10019)</f>
        <v>10019</v>
      </c>
      <c r="F124" s="0" t="n">
        <f aca="false">IFERROR(__xludf.dummyfunction("""COMPUTED_VALUE"""),1201)</f>
        <v>1201</v>
      </c>
      <c r="G124" s="21" t="n">
        <f aca="false">IFERROR(__xludf.dummyfunction("""COMPUTED_VALUE"""),1)</f>
        <v>1</v>
      </c>
      <c r="H124" s="0" t="str">
        <f aca="false">"{""sku"":"""&amp;F124&amp;""",""req"":"&amp;G124&amp;"}"</f>
        <v>{"sku":"1201","req":1}</v>
      </c>
    </row>
    <row r="125" customFormat="false" ht="13" hidden="false" customHeight="false" outlineLevel="0" collapsed="false">
      <c r="E125" s="0" t="n">
        <f aca="false">IFERROR(__xludf.dummyfunction("""COMPUTED_VALUE"""),10019)</f>
        <v>10019</v>
      </c>
      <c r="F125" s="0" t="n">
        <f aca="false">IFERROR(__xludf.dummyfunction("""COMPUTED_VALUE"""),1106)</f>
        <v>1106</v>
      </c>
      <c r="G125" s="21" t="n">
        <f aca="false">IFERROR(__xludf.dummyfunction("""COMPUTED_VALUE"""),4)</f>
        <v>4</v>
      </c>
      <c r="H125" s="0" t="str">
        <f aca="false">"{""sku"":"""&amp;F125&amp;""",""req"":"&amp;G125&amp;"}"</f>
        <v>{"sku":"1106","req":4}</v>
      </c>
    </row>
    <row r="126" customFormat="false" ht="13" hidden="false" customHeight="false" outlineLevel="0" collapsed="false">
      <c r="E126" s="0" t="n">
        <f aca="false">IFERROR(__xludf.dummyfunction("""COMPUTED_VALUE"""),10019)</f>
        <v>10019</v>
      </c>
      <c r="F126" s="0" t="n">
        <f aca="false">IFERROR(__xludf.dummyfunction("""COMPUTED_VALUE"""),1210)</f>
        <v>1210</v>
      </c>
      <c r="G126" s="21" t="n">
        <f aca="false">IFERROR(__xludf.dummyfunction("""COMPUTED_VALUE"""),1)</f>
        <v>1</v>
      </c>
      <c r="H126" s="0" t="str">
        <f aca="false">"{""sku"":"""&amp;F126&amp;""",""req"":"&amp;G126&amp;"}"</f>
        <v>{"sku":"1210","req":1}</v>
      </c>
    </row>
    <row r="127" customFormat="false" ht="13" hidden="false" customHeight="false" outlineLevel="0" collapsed="false">
      <c r="E127" s="0" t="n">
        <f aca="false">IFERROR(__xludf.dummyfunction("""COMPUTED_VALUE"""),10019)</f>
        <v>10019</v>
      </c>
      <c r="F127" s="0" t="n">
        <f aca="false">IFERROR(__xludf.dummyfunction("""COMPUTED_VALUE"""),1116)</f>
        <v>1116</v>
      </c>
      <c r="G127" s="21" t="n">
        <f aca="false">IFERROR(__xludf.dummyfunction("""COMPUTED_VALUE"""),1)</f>
        <v>1</v>
      </c>
      <c r="H127" s="0" t="str">
        <f aca="false">"{""sku"":"""&amp;F127&amp;""",""req"":"&amp;G127&amp;"}"</f>
        <v>{"sku":"1116","req":1}</v>
      </c>
    </row>
    <row r="128" customFormat="false" ht="13" hidden="false" customHeight="false" outlineLevel="0" collapsed="false">
      <c r="E128" s="0" t="n">
        <f aca="false">IFERROR(__xludf.dummyfunction("""COMPUTED_VALUE"""),10019)</f>
        <v>10019</v>
      </c>
      <c r="F128" s="0" t="n">
        <f aca="false">IFERROR(__xludf.dummyfunction("""COMPUTED_VALUE"""),1407)</f>
        <v>1407</v>
      </c>
      <c r="G128" s="21" t="n">
        <f aca="false">IFERROR(__xludf.dummyfunction("""COMPUTED_VALUE"""),1)</f>
        <v>1</v>
      </c>
      <c r="H128" s="0" t="str">
        <f aca="false">"{""sku"":"""&amp;F128&amp;""",""req"":"&amp;G128&amp;"}"</f>
        <v>{"sku":"1407","req":1}</v>
      </c>
    </row>
    <row r="129" customFormat="false" ht="13" hidden="false" customHeight="false" outlineLevel="0" collapsed="false">
      <c r="E129" s="0" t="n">
        <f aca="false">IFERROR(__xludf.dummyfunction("""COMPUTED_VALUE"""),10020)</f>
        <v>10020</v>
      </c>
      <c r="F129" s="0" t="n">
        <f aca="false">IFERROR(__xludf.dummyfunction("""COMPUTED_VALUE"""),1201)</f>
        <v>1201</v>
      </c>
      <c r="G129" s="21" t="n">
        <f aca="false">IFERROR(__xludf.dummyfunction("""COMPUTED_VALUE"""),1)</f>
        <v>1</v>
      </c>
      <c r="H129" s="0" t="str">
        <f aca="false">"{""sku"":"""&amp;F129&amp;""",""req"":"&amp;G129&amp;"}"</f>
        <v>{"sku":"1201","req":1}</v>
      </c>
    </row>
    <row r="130" customFormat="false" ht="13" hidden="false" customHeight="false" outlineLevel="0" collapsed="false">
      <c r="E130" s="0" t="n">
        <f aca="false">IFERROR(__xludf.dummyfunction("""COMPUTED_VALUE"""),10020)</f>
        <v>10020</v>
      </c>
      <c r="F130" s="0" t="n">
        <f aca="false">IFERROR(__xludf.dummyfunction("""COMPUTED_VALUE"""),1116)</f>
        <v>1116</v>
      </c>
      <c r="G130" s="21" t="n">
        <f aca="false">IFERROR(__xludf.dummyfunction("""COMPUTED_VALUE"""),1)</f>
        <v>1</v>
      </c>
      <c r="H130" s="0" t="str">
        <f aca="false">"{""sku"":"""&amp;F130&amp;""",""req"":"&amp;G130&amp;"}"</f>
        <v>{"sku":"1116","req":1}</v>
      </c>
    </row>
    <row r="131" customFormat="false" ht="13" hidden="false" customHeight="false" outlineLevel="0" collapsed="false">
      <c r="E131" s="0" t="n">
        <f aca="false">IFERROR(__xludf.dummyfunction("""COMPUTED_VALUE"""),10020)</f>
        <v>10020</v>
      </c>
      <c r="F131" s="0" t="n">
        <f aca="false">IFERROR(__xludf.dummyfunction("""COMPUTED_VALUE"""),1106)</f>
        <v>1106</v>
      </c>
      <c r="G131" s="21" t="n">
        <f aca="false">IFERROR(__xludf.dummyfunction("""COMPUTED_VALUE"""),4)</f>
        <v>4</v>
      </c>
      <c r="H131" s="0" t="str">
        <f aca="false">"{""sku"":"""&amp;F131&amp;""",""req"":"&amp;G131&amp;"}"</f>
        <v>{"sku":"1106","req":4}</v>
      </c>
    </row>
    <row r="132" customFormat="false" ht="13" hidden="false" customHeight="false" outlineLevel="0" collapsed="false">
      <c r="E132" s="0" t="n">
        <f aca="false">IFERROR(__xludf.dummyfunction("""COMPUTED_VALUE"""),10020)</f>
        <v>10020</v>
      </c>
      <c r="F132" s="0" t="n">
        <f aca="false">IFERROR(__xludf.dummyfunction("""COMPUTED_VALUE"""),1112)</f>
        <v>1112</v>
      </c>
      <c r="G132" s="21" t="n">
        <f aca="false">IFERROR(__xludf.dummyfunction("""COMPUTED_VALUE"""),1)</f>
        <v>1</v>
      </c>
      <c r="H132" s="0" t="str">
        <f aca="false">"{""sku"":"""&amp;F132&amp;""",""req"":"&amp;G132&amp;"}"</f>
        <v>{"sku":"1112","req":1}</v>
      </c>
    </row>
    <row r="133" customFormat="false" ht="13" hidden="false" customHeight="false" outlineLevel="0" collapsed="false">
      <c r="E133" s="0" t="n">
        <f aca="false">IFERROR(__xludf.dummyfunction("""COMPUTED_VALUE"""),10020)</f>
        <v>10020</v>
      </c>
      <c r="F133" s="0" t="n">
        <f aca="false">IFERROR(__xludf.dummyfunction("""COMPUTED_VALUE"""),1114)</f>
        <v>1114</v>
      </c>
      <c r="G133" s="21" t="n">
        <f aca="false">IFERROR(__xludf.dummyfunction("""COMPUTED_VALUE"""),1)</f>
        <v>1</v>
      </c>
      <c r="H133" s="0" t="str">
        <f aca="false">"{""sku"":"""&amp;F133&amp;""",""req"":"&amp;G133&amp;"}"</f>
        <v>{"sku":"1114","req":1}</v>
      </c>
    </row>
    <row r="134" customFormat="false" ht="13" hidden="false" customHeight="false" outlineLevel="0" collapsed="false">
      <c r="E134" s="0" t="n">
        <f aca="false">IFERROR(__xludf.dummyfunction("""COMPUTED_VALUE"""),10020)</f>
        <v>10020</v>
      </c>
      <c r="F134" s="0" t="n">
        <f aca="false">IFERROR(__xludf.dummyfunction("""COMPUTED_VALUE"""),1407)</f>
        <v>1407</v>
      </c>
      <c r="G134" s="21" t="n">
        <f aca="false">IFERROR(__xludf.dummyfunction("""COMPUTED_VALUE"""),1)</f>
        <v>1</v>
      </c>
      <c r="H134" s="0" t="str">
        <f aca="false">"{""sku"":"""&amp;F134&amp;""",""req"":"&amp;G134&amp;"}"</f>
        <v>{"sku":"1407","req":1}</v>
      </c>
    </row>
    <row r="135" customFormat="false" ht="13" hidden="false" customHeight="false" outlineLevel="0" collapsed="false">
      <c r="E135" s="0" t="n">
        <f aca="false">IFERROR(__xludf.dummyfunction("""COMPUTED_VALUE"""),10021)</f>
        <v>10021</v>
      </c>
      <c r="F135" s="0" t="n">
        <f aca="false">IFERROR(__xludf.dummyfunction("""COMPUTED_VALUE"""),1201)</f>
        <v>1201</v>
      </c>
      <c r="G135" s="21" t="n">
        <f aca="false">IFERROR(__xludf.dummyfunction("""COMPUTED_VALUE"""),1)</f>
        <v>1</v>
      </c>
      <c r="H135" s="0" t="str">
        <f aca="false">"{""sku"":"""&amp;F135&amp;""",""req"":"&amp;G135&amp;"}"</f>
        <v>{"sku":"1201","req":1}</v>
      </c>
    </row>
    <row r="136" customFormat="false" ht="13" hidden="false" customHeight="false" outlineLevel="0" collapsed="false">
      <c r="E136" s="0" t="n">
        <f aca="false">IFERROR(__xludf.dummyfunction("""COMPUTED_VALUE"""),10021)</f>
        <v>10021</v>
      </c>
      <c r="F136" s="0" t="n">
        <f aca="false">IFERROR(__xludf.dummyfunction("""COMPUTED_VALUE"""),1116)</f>
        <v>1116</v>
      </c>
      <c r="G136" s="21" t="n">
        <f aca="false">IFERROR(__xludf.dummyfunction("""COMPUTED_VALUE"""),1)</f>
        <v>1</v>
      </c>
      <c r="H136" s="0" t="str">
        <f aca="false">"{""sku"":"""&amp;F136&amp;""",""req"":"&amp;G136&amp;"}"</f>
        <v>{"sku":"1116","req":1}</v>
      </c>
    </row>
    <row r="137" customFormat="false" ht="13" hidden="false" customHeight="false" outlineLevel="0" collapsed="false">
      <c r="E137" s="0" t="n">
        <f aca="false">IFERROR(__xludf.dummyfunction("""COMPUTED_VALUE"""),10021)</f>
        <v>10021</v>
      </c>
      <c r="F137" s="0" t="n">
        <f aca="false">IFERROR(__xludf.dummyfunction("""COMPUTED_VALUE"""),1109)</f>
        <v>1109</v>
      </c>
      <c r="G137" s="21" t="n">
        <f aca="false">IFERROR(__xludf.dummyfunction("""COMPUTED_VALUE"""),1)</f>
        <v>1</v>
      </c>
      <c r="H137" s="0" t="str">
        <f aca="false">"{""sku"":"""&amp;F137&amp;""",""req"":"&amp;G137&amp;"}"</f>
        <v>{"sku":"1109","req":1}</v>
      </c>
    </row>
    <row r="138" customFormat="false" ht="13" hidden="false" customHeight="false" outlineLevel="0" collapsed="false">
      <c r="E138" s="0" t="n">
        <f aca="false">IFERROR(__xludf.dummyfunction("""COMPUTED_VALUE"""),10021)</f>
        <v>10021</v>
      </c>
      <c r="F138" s="0" t="n">
        <f aca="false">IFERROR(__xludf.dummyfunction("""COMPUTED_VALUE"""),1114)</f>
        <v>1114</v>
      </c>
      <c r="G138" s="21" t="n">
        <f aca="false">IFERROR(__xludf.dummyfunction("""COMPUTED_VALUE"""),1)</f>
        <v>1</v>
      </c>
      <c r="H138" s="0" t="str">
        <f aca="false">"{""sku"":"""&amp;F138&amp;""",""req"":"&amp;G138&amp;"}"</f>
        <v>{"sku":"1114","req":1}</v>
      </c>
    </row>
    <row r="139" customFormat="false" ht="13" hidden="false" customHeight="false" outlineLevel="0" collapsed="false">
      <c r="E139" s="0" t="n">
        <f aca="false">IFERROR(__xludf.dummyfunction("""COMPUTED_VALUE"""),10021)</f>
        <v>10021</v>
      </c>
      <c r="F139" s="0" t="n">
        <f aca="false">IFERROR(__xludf.dummyfunction("""COMPUTED_VALUE"""),1407)</f>
        <v>1407</v>
      </c>
      <c r="G139" s="21" t="n">
        <f aca="false">IFERROR(__xludf.dummyfunction("""COMPUTED_VALUE"""),1)</f>
        <v>1</v>
      </c>
      <c r="H139" s="0" t="str">
        <f aca="false">"{""sku"":"""&amp;F139&amp;""",""req"":"&amp;G139&amp;"}"</f>
        <v>{"sku":"1407","req":1}</v>
      </c>
    </row>
    <row r="140" customFormat="false" ht="13" hidden="false" customHeight="false" outlineLevel="0" collapsed="false">
      <c r="E140" s="0" t="n">
        <f aca="false">IFERROR(__xludf.dummyfunction("""COMPUTED_VALUE"""),10022)</f>
        <v>10022</v>
      </c>
      <c r="F140" s="0" t="n">
        <f aca="false">IFERROR(__xludf.dummyfunction("""COMPUTED_VALUE"""),1201)</f>
        <v>1201</v>
      </c>
      <c r="G140" s="21" t="n">
        <f aca="false">IFERROR(__xludf.dummyfunction("""COMPUTED_VALUE"""),1)</f>
        <v>1</v>
      </c>
      <c r="H140" s="0" t="str">
        <f aca="false">"{""sku"":"""&amp;F140&amp;""",""req"":"&amp;G140&amp;"}"</f>
        <v>{"sku":"1201","req":1}</v>
      </c>
    </row>
    <row r="141" customFormat="false" ht="13" hidden="false" customHeight="false" outlineLevel="0" collapsed="false">
      <c r="E141" s="0" t="n">
        <f aca="false">IFERROR(__xludf.dummyfunction("""COMPUTED_VALUE"""),10022)</f>
        <v>10022</v>
      </c>
      <c r="F141" s="0" t="n">
        <f aca="false">IFERROR(__xludf.dummyfunction("""COMPUTED_VALUE"""),1116)</f>
        <v>1116</v>
      </c>
      <c r="G141" s="21" t="n">
        <f aca="false">IFERROR(__xludf.dummyfunction("""COMPUTED_VALUE"""),1)</f>
        <v>1</v>
      </c>
      <c r="H141" s="0" t="str">
        <f aca="false">"{""sku"":"""&amp;F141&amp;""",""req"":"&amp;G141&amp;"}"</f>
        <v>{"sku":"1116","req":1}</v>
      </c>
    </row>
    <row r="142" customFormat="false" ht="13" hidden="false" customHeight="false" outlineLevel="0" collapsed="false">
      <c r="E142" s="0" t="n">
        <f aca="false">IFERROR(__xludf.dummyfunction("""COMPUTED_VALUE"""),10022)</f>
        <v>10022</v>
      </c>
      <c r="F142" s="0" t="n">
        <f aca="false">IFERROR(__xludf.dummyfunction("""COMPUTED_VALUE"""),1107)</f>
        <v>1107</v>
      </c>
      <c r="G142" s="21" t="n">
        <f aca="false">IFERROR(__xludf.dummyfunction("""COMPUTED_VALUE"""),1)</f>
        <v>1</v>
      </c>
      <c r="H142" s="0" t="str">
        <f aca="false">"{""sku"":"""&amp;F142&amp;""",""req"":"&amp;G142&amp;"}"</f>
        <v>{"sku":"1107","req":1}</v>
      </c>
    </row>
    <row r="143" customFormat="false" ht="13" hidden="false" customHeight="false" outlineLevel="0" collapsed="false">
      <c r="E143" s="0" t="n">
        <f aca="false">IFERROR(__xludf.dummyfunction("""COMPUTED_VALUE"""),10022)</f>
        <v>10022</v>
      </c>
      <c r="F143" s="0" t="n">
        <f aca="false">IFERROR(__xludf.dummyfunction("""COMPUTED_VALUE"""),1112)</f>
        <v>1112</v>
      </c>
      <c r="G143" s="21" t="n">
        <f aca="false">IFERROR(__xludf.dummyfunction("""COMPUTED_VALUE"""),1)</f>
        <v>1</v>
      </c>
      <c r="H143" s="0" t="str">
        <f aca="false">"{""sku"":"""&amp;F143&amp;""",""req"":"&amp;G143&amp;"}"</f>
        <v>{"sku":"1112","req":1}</v>
      </c>
    </row>
    <row r="144" customFormat="false" ht="13" hidden="false" customHeight="false" outlineLevel="0" collapsed="false">
      <c r="E144" s="0" t="n">
        <f aca="false">IFERROR(__xludf.dummyfunction("""COMPUTED_VALUE"""),10022)</f>
        <v>10022</v>
      </c>
      <c r="F144" s="0" t="n">
        <f aca="false">IFERROR(__xludf.dummyfunction("""COMPUTED_VALUE"""),1210)</f>
        <v>1210</v>
      </c>
      <c r="G144" s="21" t="n">
        <f aca="false">IFERROR(__xludf.dummyfunction("""COMPUTED_VALUE"""),1)</f>
        <v>1</v>
      </c>
      <c r="H144" s="0" t="str">
        <f aca="false">"{""sku"":"""&amp;F144&amp;""",""req"":"&amp;G144&amp;"}"</f>
        <v>{"sku":"1210","req":1}</v>
      </c>
    </row>
    <row r="145" customFormat="false" ht="13" hidden="false" customHeight="false" outlineLevel="0" collapsed="false">
      <c r="E145" s="0" t="n">
        <f aca="false">IFERROR(__xludf.dummyfunction("""COMPUTED_VALUE"""),10022)</f>
        <v>10022</v>
      </c>
      <c r="F145" s="0" t="n">
        <f aca="false">IFERROR(__xludf.dummyfunction("""COMPUTED_VALUE"""),1215)</f>
        <v>1215</v>
      </c>
      <c r="G145" s="21" t="n">
        <f aca="false">IFERROR(__xludf.dummyfunction("""COMPUTED_VALUE"""),1)</f>
        <v>1</v>
      </c>
      <c r="H145" s="0" t="str">
        <f aca="false">"{""sku"":"""&amp;F145&amp;""",""req"":"&amp;G145&amp;"}"</f>
        <v>{"sku":"1215","req":1}</v>
      </c>
    </row>
    <row r="146" customFormat="false" ht="13" hidden="false" customHeight="false" outlineLevel="0" collapsed="false">
      <c r="E146" s="0" t="n">
        <f aca="false">IFERROR(__xludf.dummyfunction("""COMPUTED_VALUE"""),10023)</f>
        <v>10023</v>
      </c>
      <c r="F146" s="0" t="n">
        <f aca="false">IFERROR(__xludf.dummyfunction("""COMPUTED_VALUE"""),1201)</f>
        <v>1201</v>
      </c>
      <c r="G146" s="21" t="n">
        <f aca="false">IFERROR(__xludf.dummyfunction("""COMPUTED_VALUE"""),1)</f>
        <v>1</v>
      </c>
      <c r="H146" s="0" t="str">
        <f aca="false">"{""sku"":"""&amp;F146&amp;""",""req"":"&amp;G146&amp;"}"</f>
        <v>{"sku":"1201","req":1}</v>
      </c>
    </row>
    <row r="147" customFormat="false" ht="13" hidden="false" customHeight="false" outlineLevel="0" collapsed="false">
      <c r="E147" s="0" t="n">
        <f aca="false">IFERROR(__xludf.dummyfunction("""COMPUTED_VALUE"""),10023)</f>
        <v>10023</v>
      </c>
      <c r="F147" s="0" t="n">
        <f aca="false">IFERROR(__xludf.dummyfunction("""COMPUTED_VALUE"""),1116)</f>
        <v>1116</v>
      </c>
      <c r="G147" s="21" t="n">
        <f aca="false">IFERROR(__xludf.dummyfunction("""COMPUTED_VALUE"""),1)</f>
        <v>1</v>
      </c>
      <c r="H147" s="0" t="str">
        <f aca="false">"{""sku"":"""&amp;F147&amp;""",""req"":"&amp;G147&amp;"}"</f>
        <v>{"sku":"1116","req":1}</v>
      </c>
    </row>
    <row r="148" customFormat="false" ht="13" hidden="false" customHeight="false" outlineLevel="0" collapsed="false">
      <c r="E148" s="0" t="n">
        <f aca="false">IFERROR(__xludf.dummyfunction("""COMPUTED_VALUE"""),10023)</f>
        <v>10023</v>
      </c>
      <c r="F148" s="0" t="n">
        <f aca="false">IFERROR(__xludf.dummyfunction("""COMPUTED_VALUE"""),1109)</f>
        <v>1109</v>
      </c>
      <c r="G148" s="21" t="n">
        <f aca="false">IFERROR(__xludf.dummyfunction("""COMPUTED_VALUE"""),1)</f>
        <v>1</v>
      </c>
      <c r="H148" s="0" t="str">
        <f aca="false">"{""sku"":"""&amp;F148&amp;""",""req"":"&amp;G148&amp;"}"</f>
        <v>{"sku":"1109","req":1}</v>
      </c>
    </row>
    <row r="149" customFormat="false" ht="13" hidden="false" customHeight="false" outlineLevel="0" collapsed="false">
      <c r="E149" s="0" t="n">
        <f aca="false">IFERROR(__xludf.dummyfunction("""COMPUTED_VALUE"""),10023)</f>
        <v>10023</v>
      </c>
      <c r="F149" s="0" t="n">
        <f aca="false">IFERROR(__xludf.dummyfunction("""COMPUTED_VALUE"""),1112)</f>
        <v>1112</v>
      </c>
      <c r="G149" s="21" t="n">
        <f aca="false">IFERROR(__xludf.dummyfunction("""COMPUTED_VALUE"""),1)</f>
        <v>1</v>
      </c>
      <c r="H149" s="0" t="str">
        <f aca="false">"{""sku"":"""&amp;F149&amp;""",""req"":"&amp;G149&amp;"}"</f>
        <v>{"sku":"1112","req":1}</v>
      </c>
    </row>
    <row r="150" customFormat="false" ht="13" hidden="false" customHeight="false" outlineLevel="0" collapsed="false">
      <c r="E150" s="0" t="n">
        <f aca="false">IFERROR(__xludf.dummyfunction("""COMPUTED_VALUE"""),10023)</f>
        <v>10023</v>
      </c>
      <c r="F150" s="0" t="n">
        <f aca="false">IFERROR(__xludf.dummyfunction("""COMPUTED_VALUE"""),1210)</f>
        <v>1210</v>
      </c>
      <c r="G150" s="21" t="n">
        <f aca="false">IFERROR(__xludf.dummyfunction("""COMPUTED_VALUE"""),1)</f>
        <v>1</v>
      </c>
      <c r="H150" s="0" t="str">
        <f aca="false">"{""sku"":"""&amp;F150&amp;""",""req"":"&amp;G150&amp;"}"</f>
        <v>{"sku":"1210","req":1}</v>
      </c>
    </row>
    <row r="151" customFormat="false" ht="13" hidden="false" customHeight="false" outlineLevel="0" collapsed="false">
      <c r="E151" s="0" t="n">
        <f aca="false">IFERROR(__xludf.dummyfunction("""COMPUTED_VALUE"""),10023)</f>
        <v>10023</v>
      </c>
      <c r="F151" s="0" t="n">
        <f aca="false">IFERROR(__xludf.dummyfunction("""COMPUTED_VALUE"""),1215)</f>
        <v>1215</v>
      </c>
      <c r="G151" s="21" t="n">
        <f aca="false">IFERROR(__xludf.dummyfunction("""COMPUTED_VALUE"""),1)</f>
        <v>1</v>
      </c>
      <c r="H151" s="0" t="str">
        <f aca="false">"{""sku"":"""&amp;F151&amp;""",""req"":"&amp;G151&amp;"}"</f>
        <v>{"sku":"1215","req":1}</v>
      </c>
    </row>
    <row r="152" customFormat="false" ht="13" hidden="false" customHeight="false" outlineLevel="0" collapsed="false">
      <c r="E152" s="0" t="n">
        <f aca="false">IFERROR(__xludf.dummyfunction("""COMPUTED_VALUE"""),10024)</f>
        <v>10024</v>
      </c>
      <c r="F152" s="0" t="n">
        <f aca="false">IFERROR(__xludf.dummyfunction("""COMPUTED_VALUE"""),1201)</f>
        <v>1201</v>
      </c>
      <c r="G152" s="21" t="n">
        <f aca="false">IFERROR(__xludf.dummyfunction("""COMPUTED_VALUE"""),1)</f>
        <v>1</v>
      </c>
      <c r="H152" s="0" t="str">
        <f aca="false">"{""sku"":"""&amp;F152&amp;""",""req"":"&amp;G152&amp;"}"</f>
        <v>{"sku":"1201","req":1}</v>
      </c>
    </row>
    <row r="153" customFormat="false" ht="13" hidden="false" customHeight="false" outlineLevel="0" collapsed="false">
      <c r="E153" s="0" t="n">
        <f aca="false">IFERROR(__xludf.dummyfunction("""COMPUTED_VALUE"""),10024)</f>
        <v>10024</v>
      </c>
      <c r="F153" s="0" t="n">
        <f aca="false">IFERROR(__xludf.dummyfunction("""COMPUTED_VALUE"""),1116)</f>
        <v>1116</v>
      </c>
      <c r="G153" s="21" t="n">
        <f aca="false">IFERROR(__xludf.dummyfunction("""COMPUTED_VALUE"""),1)</f>
        <v>1</v>
      </c>
      <c r="H153" s="0" t="str">
        <f aca="false">"{""sku"":"""&amp;F153&amp;""",""req"":"&amp;G153&amp;"}"</f>
        <v>{"sku":"1116","req":1}</v>
      </c>
    </row>
    <row r="154" customFormat="false" ht="13" hidden="false" customHeight="false" outlineLevel="0" collapsed="false">
      <c r="E154" s="0" t="n">
        <f aca="false">IFERROR(__xludf.dummyfunction("""COMPUTED_VALUE"""),10024)</f>
        <v>10024</v>
      </c>
      <c r="F154" s="0" t="n">
        <f aca="false">IFERROR(__xludf.dummyfunction("""COMPUTED_VALUE"""),1210)</f>
        <v>1210</v>
      </c>
      <c r="G154" s="21" t="n">
        <f aca="false">IFERROR(__xludf.dummyfunction("""COMPUTED_VALUE"""),1)</f>
        <v>1</v>
      </c>
      <c r="H154" s="0" t="str">
        <f aca="false">"{""sku"":"""&amp;F154&amp;""",""req"":"&amp;G154&amp;"}"</f>
        <v>{"sku":"1210","req":1}</v>
      </c>
    </row>
    <row r="155" customFormat="false" ht="13" hidden="false" customHeight="false" outlineLevel="0" collapsed="false">
      <c r="E155" s="0" t="n">
        <f aca="false">IFERROR(__xludf.dummyfunction("""COMPUTED_VALUE"""),10024)</f>
        <v>10024</v>
      </c>
      <c r="F155" s="0" t="n">
        <f aca="false">IFERROR(__xludf.dummyfunction("""COMPUTED_VALUE"""),1114)</f>
        <v>1114</v>
      </c>
      <c r="G155" s="21" t="n">
        <f aca="false">IFERROR(__xludf.dummyfunction("""COMPUTED_VALUE"""),1)</f>
        <v>1</v>
      </c>
      <c r="H155" s="0" t="str">
        <f aca="false">"{""sku"":"""&amp;F155&amp;""",""req"":"&amp;G155&amp;"}"</f>
        <v>{"sku":"1114","req":1}</v>
      </c>
    </row>
    <row r="156" customFormat="false" ht="13" hidden="false" customHeight="false" outlineLevel="0" collapsed="false">
      <c r="E156" s="0" t="n">
        <f aca="false">IFERROR(__xludf.dummyfunction("""COMPUTED_VALUE"""),10024)</f>
        <v>10024</v>
      </c>
      <c r="F156" s="0" t="n">
        <f aca="false">IFERROR(__xludf.dummyfunction("""COMPUTED_VALUE"""),1115)</f>
        <v>1115</v>
      </c>
      <c r="G156" s="21" t="n">
        <f aca="false">IFERROR(__xludf.dummyfunction("""COMPUTED_VALUE"""),1)</f>
        <v>1</v>
      </c>
      <c r="H156" s="0" t="str">
        <f aca="false">"{""sku"":"""&amp;F156&amp;""",""req"":"&amp;G156&amp;"}"</f>
        <v>{"sku":"1115","req":1}</v>
      </c>
    </row>
    <row r="157" customFormat="false" ht="13" hidden="false" customHeight="false" outlineLevel="0" collapsed="false">
      <c r="E157" s="0" t="n">
        <f aca="false">IFERROR(__xludf.dummyfunction("""COMPUTED_VALUE"""),10024)</f>
        <v>10024</v>
      </c>
      <c r="F157" s="0" t="n">
        <f aca="false">IFERROR(__xludf.dummyfunction("""COMPUTED_VALUE"""),1211)</f>
        <v>1211</v>
      </c>
      <c r="G157" s="21" t="n">
        <f aca="false">IFERROR(__xludf.dummyfunction("""COMPUTED_VALUE"""),1)</f>
        <v>1</v>
      </c>
      <c r="H157" s="0" t="str">
        <f aca="false">"{""sku"":"""&amp;F157&amp;""",""req"":"&amp;G157&amp;"}"</f>
        <v>{"sku":"1211","req":1}</v>
      </c>
    </row>
    <row r="158" customFormat="false" ht="13" hidden="false" customHeight="false" outlineLevel="0" collapsed="false">
      <c r="E158" s="0" t="n">
        <f aca="false">IFERROR(__xludf.dummyfunction("""COMPUTED_VALUE"""),10025)</f>
        <v>10025</v>
      </c>
      <c r="F158" s="0" t="n">
        <f aca="false">IFERROR(__xludf.dummyfunction("""COMPUTED_VALUE"""),1201)</f>
        <v>1201</v>
      </c>
      <c r="G158" s="21" t="n">
        <f aca="false">IFERROR(__xludf.dummyfunction("""COMPUTED_VALUE"""),1)</f>
        <v>1</v>
      </c>
      <c r="H158" s="0" t="str">
        <f aca="false">"{""sku"":"""&amp;F158&amp;""",""req"":"&amp;G158&amp;"}"</f>
        <v>{"sku":"1201","req":1}</v>
      </c>
    </row>
    <row r="159" customFormat="false" ht="13" hidden="false" customHeight="false" outlineLevel="0" collapsed="false">
      <c r="E159" s="0" t="n">
        <f aca="false">IFERROR(__xludf.dummyfunction("""COMPUTED_VALUE"""),10025)</f>
        <v>10025</v>
      </c>
      <c r="F159" s="0" t="n">
        <f aca="false">IFERROR(__xludf.dummyfunction("""COMPUTED_VALUE"""),1116)</f>
        <v>1116</v>
      </c>
      <c r="G159" s="21" t="n">
        <f aca="false">IFERROR(__xludf.dummyfunction("""COMPUTED_VALUE"""),1)</f>
        <v>1</v>
      </c>
      <c r="H159" s="0" t="str">
        <f aca="false">"{""sku"":"""&amp;F159&amp;""",""req"":"&amp;G159&amp;"}"</f>
        <v>{"sku":"1116","req":1}</v>
      </c>
    </row>
    <row r="160" customFormat="false" ht="13" hidden="false" customHeight="false" outlineLevel="0" collapsed="false">
      <c r="E160" s="0" t="n">
        <f aca="false">IFERROR(__xludf.dummyfunction("""COMPUTED_VALUE"""),10025)</f>
        <v>10025</v>
      </c>
      <c r="F160" s="0" t="n">
        <f aca="false">IFERROR(__xludf.dummyfunction("""COMPUTED_VALUE"""),1210)</f>
        <v>1210</v>
      </c>
      <c r="G160" s="21" t="n">
        <f aca="false">IFERROR(__xludf.dummyfunction("""COMPUTED_VALUE"""),1)</f>
        <v>1</v>
      </c>
      <c r="H160" s="0" t="str">
        <f aca="false">"{""sku"":"""&amp;F160&amp;""",""req"":"&amp;G160&amp;"}"</f>
        <v>{"sku":"1210","req":1}</v>
      </c>
    </row>
    <row r="161" customFormat="false" ht="13" hidden="false" customHeight="false" outlineLevel="0" collapsed="false">
      <c r="E161" s="0" t="n">
        <f aca="false">IFERROR(__xludf.dummyfunction("""COMPUTED_VALUE"""),10025)</f>
        <v>10025</v>
      </c>
      <c r="F161" s="0" t="n">
        <f aca="false">IFERROR(__xludf.dummyfunction("""COMPUTED_VALUE"""),1114)</f>
        <v>1114</v>
      </c>
      <c r="G161" s="21" t="n">
        <f aca="false">IFERROR(__xludf.dummyfunction("""COMPUTED_VALUE"""),1)</f>
        <v>1</v>
      </c>
      <c r="H161" s="0" t="str">
        <f aca="false">"{""sku"":"""&amp;F161&amp;""",""req"":"&amp;G161&amp;"}"</f>
        <v>{"sku":"1114","req":1}</v>
      </c>
    </row>
    <row r="162" customFormat="false" ht="13" hidden="false" customHeight="false" outlineLevel="0" collapsed="false">
      <c r="E162" s="0" t="n">
        <f aca="false">IFERROR(__xludf.dummyfunction("""COMPUTED_VALUE"""),10025)</f>
        <v>10025</v>
      </c>
      <c r="F162" s="0" t="n">
        <f aca="false">IFERROR(__xludf.dummyfunction("""COMPUTED_VALUE"""),1115)</f>
        <v>1115</v>
      </c>
      <c r="G162" s="21" t="n">
        <f aca="false">IFERROR(__xludf.dummyfunction("""COMPUTED_VALUE"""),1)</f>
        <v>1</v>
      </c>
      <c r="H162" s="0" t="str">
        <f aca="false">"{""sku"":"""&amp;F162&amp;""",""req"":"&amp;G162&amp;"}"</f>
        <v>{"sku":"1115","req":1}</v>
      </c>
    </row>
    <row r="163" customFormat="false" ht="13" hidden="false" customHeight="false" outlineLevel="0" collapsed="false">
      <c r="E163" s="0" t="n">
        <f aca="false">IFERROR(__xludf.dummyfunction("""COMPUTED_VALUE"""),10025)</f>
        <v>10025</v>
      </c>
      <c r="F163" s="0" t="n">
        <f aca="false">IFERROR(__xludf.dummyfunction("""COMPUTED_VALUE"""),1013)</f>
        <v>1013</v>
      </c>
      <c r="G163" s="21" t="n">
        <f aca="false">IFERROR(__xludf.dummyfunction("""COMPUTED_VALUE"""),5)</f>
        <v>5</v>
      </c>
      <c r="H163" s="0" t="str">
        <f aca="false">"{""sku"":"""&amp;F163&amp;""",""req"":"&amp;G163&amp;"}"</f>
        <v>{"sku":"1013","req":5}</v>
      </c>
    </row>
    <row r="164" customFormat="false" ht="13" hidden="false" customHeight="false" outlineLevel="0" collapsed="false">
      <c r="E164" s="0" t="n">
        <f aca="false">IFERROR(__xludf.dummyfunction("""COMPUTED_VALUE"""),20001)</f>
        <v>20001</v>
      </c>
      <c r="F164" s="0" t="n">
        <f aca="false">IFERROR(__xludf.dummyfunction("""COMPUTED_VALUE"""),1301)</f>
        <v>1301</v>
      </c>
      <c r="G164" s="21" t="n">
        <f aca="false">IFERROR(__xludf.dummyfunction("""COMPUTED_VALUE"""),1)</f>
        <v>1</v>
      </c>
      <c r="H164" s="0" t="str">
        <f aca="false">"{""sku"":"""&amp;F164&amp;""",""req"":"&amp;G164&amp;"}"</f>
        <v>{"sku":"1301","req":1}</v>
      </c>
    </row>
    <row r="165" customFormat="false" ht="13" hidden="false" customHeight="false" outlineLevel="0" collapsed="false">
      <c r="E165" s="0" t="n">
        <f aca="false">IFERROR(__xludf.dummyfunction("""COMPUTED_VALUE"""),20001)</f>
        <v>20001</v>
      </c>
      <c r="F165" s="0" t="n">
        <f aca="false">IFERROR(__xludf.dummyfunction("""COMPUTED_VALUE"""),1207)</f>
        <v>1207</v>
      </c>
      <c r="G165" s="21" t="n">
        <f aca="false">IFERROR(__xludf.dummyfunction("""COMPUTED_VALUE"""),1)</f>
        <v>1</v>
      </c>
      <c r="H165" s="0" t="str">
        <f aca="false">"{""sku"":"""&amp;F165&amp;""",""req"":"&amp;G165&amp;"}"</f>
        <v>{"sku":"1207","req":1}</v>
      </c>
    </row>
    <row r="166" customFormat="false" ht="13" hidden="false" customHeight="false" outlineLevel="0" collapsed="false">
      <c r="E166" s="0" t="n">
        <f aca="false">IFERROR(__xludf.dummyfunction("""COMPUTED_VALUE"""),20001)</f>
        <v>20001</v>
      </c>
      <c r="F166" s="0" t="n">
        <f aca="false">IFERROR(__xludf.dummyfunction("""COMPUTED_VALUE"""),1310)</f>
        <v>1310</v>
      </c>
      <c r="G166" s="21" t="n">
        <f aca="false">IFERROR(__xludf.dummyfunction("""COMPUTED_VALUE"""),1)</f>
        <v>1</v>
      </c>
      <c r="H166" s="0" t="str">
        <f aca="false">"{""sku"":"""&amp;F166&amp;""",""req"":"&amp;G166&amp;"}"</f>
        <v>{"sku":"1310","req":1}</v>
      </c>
    </row>
    <row r="167" customFormat="false" ht="13" hidden="false" customHeight="false" outlineLevel="0" collapsed="false">
      <c r="E167" s="0" t="n">
        <f aca="false">IFERROR(__xludf.dummyfunction("""COMPUTED_VALUE"""),20001)</f>
        <v>20001</v>
      </c>
      <c r="F167" s="0" t="n">
        <f aca="false">IFERROR(__xludf.dummyfunction("""COMPUTED_VALUE"""),1112)</f>
        <v>1112</v>
      </c>
      <c r="G167" s="21" t="n">
        <f aca="false">IFERROR(__xludf.dummyfunction("""COMPUTED_VALUE"""),1)</f>
        <v>1</v>
      </c>
      <c r="H167" s="0" t="str">
        <f aca="false">"{""sku"":"""&amp;F167&amp;""",""req"":"&amp;G167&amp;"}"</f>
        <v>{"sku":"1112","req":1}</v>
      </c>
    </row>
    <row r="168" customFormat="false" ht="13" hidden="false" customHeight="false" outlineLevel="0" collapsed="false">
      <c r="E168" s="0" t="n">
        <f aca="false">IFERROR(__xludf.dummyfunction("""COMPUTED_VALUE"""),20001)</f>
        <v>20001</v>
      </c>
      <c r="F168" s="0" t="n">
        <f aca="false">IFERROR(__xludf.dummyfunction("""COMPUTED_VALUE"""),1216)</f>
        <v>1216</v>
      </c>
      <c r="G168" s="21" t="n">
        <f aca="false">IFERROR(__xludf.dummyfunction("""COMPUTED_VALUE"""),1)</f>
        <v>1</v>
      </c>
      <c r="H168" s="0" t="str">
        <f aca="false">"{""sku"":"""&amp;F168&amp;""",""req"":"&amp;G168&amp;"}"</f>
        <v>{"sku":"1216","req":1}</v>
      </c>
    </row>
    <row r="169" customFormat="false" ht="13" hidden="false" customHeight="false" outlineLevel="0" collapsed="false">
      <c r="E169" s="0" t="n">
        <f aca="false">IFERROR(__xludf.dummyfunction("""COMPUTED_VALUE"""),20002)</f>
        <v>20002</v>
      </c>
      <c r="F169" s="0" t="n">
        <f aca="false">IFERROR(__xludf.dummyfunction("""COMPUTED_VALUE"""),1301)</f>
        <v>1301</v>
      </c>
      <c r="G169" s="21" t="n">
        <f aca="false">IFERROR(__xludf.dummyfunction("""COMPUTED_VALUE"""),1)</f>
        <v>1</v>
      </c>
      <c r="H169" s="0" t="str">
        <f aca="false">"{""sku"":"""&amp;F169&amp;""",""req"":"&amp;G169&amp;"}"</f>
        <v>{"sku":"1301","req":1}</v>
      </c>
    </row>
    <row r="170" customFormat="false" ht="13" hidden="false" customHeight="false" outlineLevel="0" collapsed="false">
      <c r="E170" s="0" t="n">
        <f aca="false">IFERROR(__xludf.dummyfunction("""COMPUTED_VALUE"""),20002)</f>
        <v>20002</v>
      </c>
      <c r="F170" s="0" t="n">
        <f aca="false">IFERROR(__xludf.dummyfunction("""COMPUTED_VALUE"""),1216)</f>
        <v>1216</v>
      </c>
      <c r="G170" s="21" t="n">
        <f aca="false">IFERROR(__xludf.dummyfunction("""COMPUTED_VALUE"""),1)</f>
        <v>1</v>
      </c>
      <c r="H170" s="0" t="str">
        <f aca="false">"{""sku"":"""&amp;F170&amp;""",""req"":"&amp;G170&amp;"}"</f>
        <v>{"sku":"1216","req":1}</v>
      </c>
    </row>
    <row r="171" customFormat="false" ht="13" hidden="false" customHeight="false" outlineLevel="0" collapsed="false">
      <c r="E171" s="0" t="n">
        <f aca="false">IFERROR(__xludf.dummyfunction("""COMPUTED_VALUE"""),20002)</f>
        <v>20002</v>
      </c>
      <c r="F171" s="0" t="n">
        <f aca="false">IFERROR(__xludf.dummyfunction("""COMPUTED_VALUE"""),1106)</f>
        <v>1106</v>
      </c>
      <c r="G171" s="21" t="n">
        <f aca="false">IFERROR(__xludf.dummyfunction("""COMPUTED_VALUE"""),4)</f>
        <v>4</v>
      </c>
      <c r="H171" s="0" t="str">
        <f aca="false">"{""sku"":"""&amp;F171&amp;""",""req"":"&amp;G171&amp;"}"</f>
        <v>{"sku":"1106","req":4}</v>
      </c>
    </row>
    <row r="172" customFormat="false" ht="13" hidden="false" customHeight="false" outlineLevel="0" collapsed="false">
      <c r="E172" s="0" t="n">
        <f aca="false">IFERROR(__xludf.dummyfunction("""COMPUTED_VALUE"""),20003)</f>
        <v>20003</v>
      </c>
      <c r="F172" s="0" t="n">
        <f aca="false">IFERROR(__xludf.dummyfunction("""COMPUTED_VALUE"""),1301)</f>
        <v>1301</v>
      </c>
      <c r="G172" s="21" t="n">
        <f aca="false">IFERROR(__xludf.dummyfunction("""COMPUTED_VALUE"""),1)</f>
        <v>1</v>
      </c>
      <c r="H172" s="0" t="str">
        <f aca="false">"{""sku"":"""&amp;F172&amp;""",""req"":"&amp;G172&amp;"}"</f>
        <v>{"sku":"1301","req":1}</v>
      </c>
    </row>
    <row r="173" customFormat="false" ht="13" hidden="false" customHeight="false" outlineLevel="0" collapsed="false">
      <c r="E173" s="0" t="n">
        <f aca="false">IFERROR(__xludf.dummyfunction("""COMPUTED_VALUE"""),20003)</f>
        <v>20003</v>
      </c>
      <c r="F173" s="0" t="n">
        <f aca="false">IFERROR(__xludf.dummyfunction("""COMPUTED_VALUE"""),1216)</f>
        <v>1216</v>
      </c>
      <c r="G173" s="21" t="n">
        <f aca="false">IFERROR(__xludf.dummyfunction("""COMPUTED_VALUE"""),1)</f>
        <v>1</v>
      </c>
      <c r="H173" s="0" t="str">
        <f aca="false">"{""sku"":"""&amp;F173&amp;""",""req"":"&amp;G173&amp;"}"</f>
        <v>{"sku":"1216","req":1}</v>
      </c>
    </row>
    <row r="174" customFormat="false" ht="13" hidden="false" customHeight="false" outlineLevel="0" collapsed="false">
      <c r="E174" s="0" t="n">
        <f aca="false">IFERROR(__xludf.dummyfunction("""COMPUTED_VALUE"""),20003)</f>
        <v>20003</v>
      </c>
      <c r="F174" s="0" t="n">
        <f aca="false">IFERROR(__xludf.dummyfunction("""COMPUTED_VALUE"""),1207)</f>
        <v>1207</v>
      </c>
      <c r="G174" s="21" t="n">
        <f aca="false">IFERROR(__xludf.dummyfunction("""COMPUTED_VALUE"""),1)</f>
        <v>1</v>
      </c>
      <c r="H174" s="0" t="str">
        <f aca="false">"{""sku"":"""&amp;F174&amp;""",""req"":"&amp;G174&amp;"}"</f>
        <v>{"sku":"1207","req":1}</v>
      </c>
    </row>
    <row r="175" customFormat="false" ht="13" hidden="false" customHeight="false" outlineLevel="0" collapsed="false">
      <c r="E175" s="0" t="n">
        <f aca="false">IFERROR(__xludf.dummyfunction("""COMPUTED_VALUE"""),20004)</f>
        <v>20004</v>
      </c>
      <c r="F175" s="0" t="n">
        <f aca="false">IFERROR(__xludf.dummyfunction("""COMPUTED_VALUE"""),1301)</f>
        <v>1301</v>
      </c>
      <c r="G175" s="21" t="n">
        <f aca="false">IFERROR(__xludf.dummyfunction("""COMPUTED_VALUE"""),1)</f>
        <v>1</v>
      </c>
      <c r="H175" s="0" t="str">
        <f aca="false">"{""sku"":"""&amp;F175&amp;""",""req"":"&amp;G175&amp;"}"</f>
        <v>{"sku":"1301","req":1}</v>
      </c>
    </row>
    <row r="176" customFormat="false" ht="13" hidden="false" customHeight="false" outlineLevel="0" collapsed="false">
      <c r="E176" s="0" t="n">
        <f aca="false">IFERROR(__xludf.dummyfunction("""COMPUTED_VALUE"""),20004)</f>
        <v>20004</v>
      </c>
      <c r="F176" s="0" t="n">
        <f aca="false">IFERROR(__xludf.dummyfunction("""COMPUTED_VALUE"""),1216)</f>
        <v>1216</v>
      </c>
      <c r="G176" s="21" t="n">
        <f aca="false">IFERROR(__xludf.dummyfunction("""COMPUTED_VALUE"""),1)</f>
        <v>1</v>
      </c>
      <c r="H176" s="0" t="str">
        <f aca="false">"{""sku"":"""&amp;F176&amp;""",""req"":"&amp;G176&amp;"}"</f>
        <v>{"sku":"1216","req":1}</v>
      </c>
    </row>
    <row r="177" customFormat="false" ht="13" hidden="false" customHeight="false" outlineLevel="0" collapsed="false">
      <c r="E177" s="0" t="n">
        <f aca="false">IFERROR(__xludf.dummyfunction("""COMPUTED_VALUE"""),20004)</f>
        <v>20004</v>
      </c>
      <c r="F177" s="0" t="n">
        <f aca="false">IFERROR(__xludf.dummyfunction("""COMPUTED_VALUE"""),1209)</f>
        <v>1209</v>
      </c>
      <c r="G177" s="21" t="n">
        <f aca="false">IFERROR(__xludf.dummyfunction("""COMPUTED_VALUE"""),1)</f>
        <v>1</v>
      </c>
      <c r="H177" s="0" t="str">
        <f aca="false">"{""sku"":"""&amp;F177&amp;""",""req"":"&amp;G177&amp;"}"</f>
        <v>{"sku":"1209","req":1}</v>
      </c>
    </row>
    <row r="178" customFormat="false" ht="13" hidden="false" customHeight="false" outlineLevel="0" collapsed="false">
      <c r="E178" s="0" t="n">
        <f aca="false">IFERROR(__xludf.dummyfunction("""COMPUTED_VALUE"""),20005)</f>
        <v>20005</v>
      </c>
      <c r="F178" s="0" t="n">
        <f aca="false">IFERROR(__xludf.dummyfunction("""COMPUTED_VALUE"""),1301)</f>
        <v>1301</v>
      </c>
      <c r="G178" s="21" t="n">
        <f aca="false">IFERROR(__xludf.dummyfunction("""COMPUTED_VALUE"""),1)</f>
        <v>1</v>
      </c>
      <c r="H178" s="0" t="str">
        <f aca="false">"{""sku"":"""&amp;F178&amp;""",""req"":"&amp;G178&amp;"}"</f>
        <v>{"sku":"1301","req":1}</v>
      </c>
    </row>
    <row r="179" customFormat="false" ht="13" hidden="false" customHeight="false" outlineLevel="0" collapsed="false">
      <c r="E179" s="0" t="n">
        <f aca="false">IFERROR(__xludf.dummyfunction("""COMPUTED_VALUE"""),20005)</f>
        <v>20005</v>
      </c>
      <c r="F179" s="0" t="n">
        <f aca="false">IFERROR(__xludf.dummyfunction("""COMPUTED_VALUE"""),1216)</f>
        <v>1216</v>
      </c>
      <c r="G179" s="21" t="n">
        <f aca="false">IFERROR(__xludf.dummyfunction("""COMPUTED_VALUE"""),1)</f>
        <v>1</v>
      </c>
      <c r="H179" s="0" t="str">
        <f aca="false">"{""sku"":"""&amp;F179&amp;""",""req"":"&amp;G179&amp;"}"</f>
        <v>{"sku":"1216","req":1}</v>
      </c>
    </row>
    <row r="180" customFormat="false" ht="13" hidden="false" customHeight="false" outlineLevel="0" collapsed="false">
      <c r="E180" s="0" t="n">
        <f aca="false">IFERROR(__xludf.dummyfunction("""COMPUTED_VALUE"""),20005)</f>
        <v>20005</v>
      </c>
      <c r="F180" s="0" t="n">
        <f aca="false">IFERROR(__xludf.dummyfunction("""COMPUTED_VALUE"""),1209)</f>
        <v>1209</v>
      </c>
      <c r="G180" s="21" t="n">
        <f aca="false">IFERROR(__xludf.dummyfunction("""COMPUTED_VALUE"""),1)</f>
        <v>1</v>
      </c>
      <c r="H180" s="0" t="str">
        <f aca="false">"{""sku"":"""&amp;F180&amp;""",""req"":"&amp;G180&amp;"}"</f>
        <v>{"sku":"1209","req":1}</v>
      </c>
    </row>
    <row r="181" customFormat="false" ht="13" hidden="false" customHeight="false" outlineLevel="0" collapsed="false">
      <c r="E181" s="0" t="n">
        <f aca="false">IFERROR(__xludf.dummyfunction("""COMPUTED_VALUE"""),20005)</f>
        <v>20005</v>
      </c>
      <c r="F181" s="0" t="n">
        <f aca="false">IFERROR(__xludf.dummyfunction("""COMPUTED_VALUE"""),1310)</f>
        <v>1310</v>
      </c>
      <c r="G181" s="21" t="n">
        <f aca="false">IFERROR(__xludf.dummyfunction("""COMPUTED_VALUE"""),1)</f>
        <v>1</v>
      </c>
      <c r="H181" s="0" t="str">
        <f aca="false">"{""sku"":"""&amp;F181&amp;""",""req"":"&amp;G181&amp;"}"</f>
        <v>{"sku":"1310","req":1}</v>
      </c>
    </row>
    <row r="182" customFormat="false" ht="13" hidden="false" customHeight="false" outlineLevel="0" collapsed="false">
      <c r="E182" s="0" t="n">
        <f aca="false">IFERROR(__xludf.dummyfunction("""COMPUTED_VALUE"""),20005)</f>
        <v>20005</v>
      </c>
      <c r="F182" s="0" t="n">
        <f aca="false">IFERROR(__xludf.dummyfunction("""COMPUTED_VALUE"""),1112)</f>
        <v>1112</v>
      </c>
      <c r="G182" s="21" t="n">
        <f aca="false">IFERROR(__xludf.dummyfunction("""COMPUTED_VALUE"""),1)</f>
        <v>1</v>
      </c>
      <c r="H182" s="0" t="str">
        <f aca="false">"{""sku"":"""&amp;F182&amp;""",""req"":"&amp;G182&amp;"}"</f>
        <v>{"sku":"1112","req":1}</v>
      </c>
    </row>
    <row r="183" customFormat="false" ht="13" hidden="false" customHeight="false" outlineLevel="0" collapsed="false">
      <c r="E183" s="0" t="n">
        <f aca="false">IFERROR(__xludf.dummyfunction("""COMPUTED_VALUE"""),30001)</f>
        <v>30001</v>
      </c>
      <c r="F183" s="0" t="n">
        <f aca="false">IFERROR(__xludf.dummyfunction("""COMPUTED_VALUE"""),1307)</f>
        <v>1307</v>
      </c>
      <c r="G183" s="21" t="n">
        <f aca="false">IFERROR(__xludf.dummyfunction("""COMPUTED_VALUE"""),3)</f>
        <v>3</v>
      </c>
      <c r="H183" s="0" t="str">
        <f aca="false">"{""sku"":"""&amp;F183&amp;""",""req"":"&amp;G183&amp;"}"</f>
        <v>{"sku":"1307","req":3}</v>
      </c>
    </row>
    <row r="184" customFormat="false" ht="13" hidden="false" customHeight="false" outlineLevel="0" collapsed="false">
      <c r="E184" s="0" t="n">
        <f aca="false">IFERROR(__xludf.dummyfunction("""COMPUTED_VALUE"""),30002)</f>
        <v>30002</v>
      </c>
      <c r="F184" s="0" t="n">
        <f aca="false">IFERROR(__xludf.dummyfunction("""COMPUTED_VALUE"""),1307)</f>
        <v>1307</v>
      </c>
      <c r="G184" s="21" t="n">
        <f aca="false">IFERROR(__xludf.dummyfunction("""COMPUTED_VALUE"""),4)</f>
        <v>4</v>
      </c>
      <c r="H184" s="0" t="str">
        <f aca="false">"{""sku"":"""&amp;F184&amp;""",""req"":"&amp;G184&amp;"}"</f>
        <v>{"sku":"1307","req":4}</v>
      </c>
    </row>
    <row r="185" customFormat="false" ht="13" hidden="false" customHeight="false" outlineLevel="0" collapsed="false">
      <c r="E185" s="0" t="n">
        <f aca="false">IFERROR(__xludf.dummyfunction("""COMPUTED_VALUE"""),30003)</f>
        <v>30003</v>
      </c>
      <c r="F185" s="0" t="n">
        <f aca="false">IFERROR(__xludf.dummyfunction("""COMPUTED_VALUE"""),1307)</f>
        <v>1307</v>
      </c>
      <c r="G185" s="21" t="n">
        <f aca="false">IFERROR(__xludf.dummyfunction("""COMPUTED_VALUE"""),5)</f>
        <v>5</v>
      </c>
      <c r="H185" s="0" t="str">
        <f aca="false">"{""sku"":"""&amp;F185&amp;""",""req"":"&amp;G185&amp;"}"</f>
        <v>{"sku":"1307","req":5}</v>
      </c>
    </row>
    <row r="186" customFormat="false" ht="13" hidden="false" customHeight="false" outlineLevel="0" collapsed="false">
      <c r="E186" s="0" t="n">
        <f aca="false">IFERROR(__xludf.dummyfunction("""COMPUTED_VALUE"""),30004)</f>
        <v>30004</v>
      </c>
      <c r="F186" s="0" t="n">
        <f aca="false">IFERROR(__xludf.dummyfunction("""COMPUTED_VALUE"""),1309)</f>
        <v>1309</v>
      </c>
      <c r="G186" s="21" t="n">
        <f aca="false">IFERROR(__xludf.dummyfunction("""COMPUTED_VALUE"""),3)</f>
        <v>3</v>
      </c>
      <c r="H186" s="0" t="str">
        <f aca="false">"{""sku"":"""&amp;F186&amp;""",""req"":"&amp;G186&amp;"}"</f>
        <v>{"sku":"1309","req":3}</v>
      </c>
    </row>
    <row r="187" customFormat="false" ht="13" hidden="false" customHeight="false" outlineLevel="0" collapsed="false">
      <c r="E187" s="0" t="n">
        <f aca="false">IFERROR(__xludf.dummyfunction("""COMPUTED_VALUE"""),30005)</f>
        <v>30005</v>
      </c>
      <c r="F187" s="0" t="n">
        <f aca="false">IFERROR(__xludf.dummyfunction("""COMPUTED_VALUE"""),1309)</f>
        <v>1309</v>
      </c>
      <c r="G187" s="21" t="n">
        <f aca="false">IFERROR(__xludf.dummyfunction("""COMPUTED_VALUE"""),4)</f>
        <v>4</v>
      </c>
      <c r="H187" s="0" t="str">
        <f aca="false">"{""sku"":"""&amp;F187&amp;""",""req"":"&amp;G187&amp;"}"</f>
        <v>{"sku":"1309","req":4}</v>
      </c>
    </row>
    <row r="188" customFormat="false" ht="13" hidden="false" customHeight="false" outlineLevel="0" collapsed="false">
      <c r="E188" s="0" t="n">
        <f aca="false">IFERROR(__xludf.dummyfunction("""COMPUTED_VALUE"""),30006)</f>
        <v>30006</v>
      </c>
      <c r="F188" s="0" t="n">
        <f aca="false">IFERROR(__xludf.dummyfunction("""COMPUTED_VALUE"""),1309)</f>
        <v>1309</v>
      </c>
      <c r="G188" s="21" t="n">
        <f aca="false">IFERROR(__xludf.dummyfunction("""COMPUTED_VALUE"""),5)</f>
        <v>5</v>
      </c>
      <c r="H188" s="0" t="str">
        <f aca="false">"{""sku"":"""&amp;F188&amp;""",""req"":"&amp;G188&amp;"}"</f>
        <v>{"sku":"1309","req":5}</v>
      </c>
    </row>
    <row r="189" customFormat="false" ht="13" hidden="false" customHeight="false" outlineLevel="0" collapsed="false">
      <c r="E189" s="0" t="n">
        <f aca="false">IFERROR(__xludf.dummyfunction("""COMPUTED_VALUE"""),30007)</f>
        <v>30007</v>
      </c>
      <c r="F189" s="0" t="n">
        <f aca="false">IFERROR(__xludf.dummyfunction("""COMPUTED_VALUE"""),1309)</f>
        <v>1309</v>
      </c>
      <c r="G189" s="21" t="n">
        <f aca="false">IFERROR(__xludf.dummyfunction("""COMPUTED_VALUE"""),2)</f>
        <v>2</v>
      </c>
      <c r="H189" s="0" t="str">
        <f aca="false">"{""sku"":"""&amp;F189&amp;""",""req"":"&amp;G189&amp;"}"</f>
        <v>{"sku":"1309","req":2}</v>
      </c>
    </row>
    <row r="190" customFormat="false" ht="13" hidden="false" customHeight="false" outlineLevel="0" collapsed="false">
      <c r="E190" s="0" t="n">
        <f aca="false">IFERROR(__xludf.dummyfunction("""COMPUTED_VALUE"""),30007)</f>
        <v>30007</v>
      </c>
      <c r="F190" s="0" t="n">
        <f aca="false">IFERROR(__xludf.dummyfunction("""COMPUTED_VALUE"""),1307)</f>
        <v>1307</v>
      </c>
      <c r="G190" s="21" t="n">
        <f aca="false">IFERROR(__xludf.dummyfunction("""COMPUTED_VALUE"""),2)</f>
        <v>2</v>
      </c>
      <c r="H190" s="0" t="str">
        <f aca="false">"{""sku"":"""&amp;F190&amp;""",""req"":"&amp;G190&amp;"}"</f>
        <v>{"sku":"1307","req":2}</v>
      </c>
    </row>
    <row r="191" customFormat="false" ht="13" hidden="false" customHeight="false" outlineLevel="0" collapsed="false">
      <c r="E191" s="0" t="n">
        <f aca="false">IFERROR(__xludf.dummyfunction("""COMPUTED_VALUE"""),30008)</f>
        <v>30008</v>
      </c>
      <c r="F191" s="0" t="n">
        <f aca="false">IFERROR(__xludf.dummyfunction("""COMPUTED_VALUE"""),1309)</f>
        <v>1309</v>
      </c>
      <c r="G191" s="21" t="n">
        <f aca="false">IFERROR(__xludf.dummyfunction("""COMPUTED_VALUE"""),3)</f>
        <v>3</v>
      </c>
      <c r="H191" s="0" t="str">
        <f aca="false">"{""sku"":"""&amp;F191&amp;""",""req"":"&amp;G191&amp;"}"</f>
        <v>{"sku":"1309","req":3}</v>
      </c>
    </row>
    <row r="192" customFormat="false" ht="13" hidden="false" customHeight="false" outlineLevel="0" collapsed="false">
      <c r="E192" s="0" t="n">
        <f aca="false">IFERROR(__xludf.dummyfunction("""COMPUTED_VALUE"""),30008)</f>
        <v>30008</v>
      </c>
      <c r="F192" s="0" t="n">
        <f aca="false">IFERROR(__xludf.dummyfunction("""COMPUTED_VALUE"""),1307)</f>
        <v>1307</v>
      </c>
      <c r="G192" s="21" t="n">
        <f aca="false">IFERROR(__xludf.dummyfunction("""COMPUTED_VALUE"""),3)</f>
        <v>3</v>
      </c>
      <c r="H192" s="0" t="str">
        <f aca="false">"{""sku"":"""&amp;F192&amp;""",""req"":"&amp;G192&amp;"}"</f>
        <v>{"sku":"1307","req":3}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2019-05-26T22:16:24Z</dcterms:created>
  <dc:creator/>
  <dc:description/>
  <dc:language>en-US</dc:language>
  <cp:lastModifiedBy/>
  <dcterms:modified xsi:type="dcterms:W3CDTF">2019-06-26T19:31:03Z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