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ice (3)" sheetId="1" r:id="rId1"/>
  </sheets>
  <calcPr calcId="0" refMode="R1C1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C29"/>
  <c r="H29"/>
  <c r="A30"/>
  <c r="C30"/>
  <c r="H30"/>
  <c r="A31"/>
  <c r="C31"/>
  <c r="H31"/>
  <c r="A32"/>
  <c r="C32"/>
  <c r="H32"/>
  <c r="A33"/>
  <c r="C33"/>
  <c r="H33"/>
  <c r="A34"/>
  <c r="C34"/>
  <c r="H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I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C441"/>
  <c r="H441"/>
  <c r="A442"/>
  <c r="C442"/>
  <c r="H442"/>
  <c r="A443"/>
  <c r="A444"/>
  <c r="A445"/>
  <c r="A446"/>
  <c r="A447"/>
  <c r="A448"/>
  <c r="A449"/>
  <c r="A450"/>
  <c r="A451"/>
  <c r="A452"/>
  <c r="A453"/>
  <c r="A454"/>
  <c r="A455"/>
  <c r="I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I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C1150"/>
  <c r="H1150"/>
  <c r="A1151"/>
  <c r="C1151"/>
  <c r="H1151"/>
  <c r="A1152"/>
  <c r="C1152"/>
  <c r="H1152"/>
  <c r="A1153"/>
  <c r="C1153"/>
  <c r="H1153"/>
  <c r="A1154"/>
  <c r="C1154"/>
  <c r="H1154"/>
  <c r="A1155"/>
  <c r="C1155"/>
  <c r="H1155"/>
  <c r="A1156"/>
  <c r="C1156"/>
  <c r="H1156"/>
  <c r="A1157"/>
  <c r="C1157"/>
  <c r="H1157"/>
  <c r="A1158"/>
  <c r="C1158"/>
  <c r="H1158"/>
  <c r="A1159"/>
  <c r="C1159"/>
  <c r="H1159"/>
  <c r="A1160"/>
  <c r="C1160"/>
  <c r="H1160"/>
  <c r="A1161"/>
  <c r="C1161"/>
  <c r="H1161"/>
  <c r="A1162"/>
  <c r="C1162"/>
  <c r="H1162"/>
  <c r="A1163"/>
  <c r="C1163"/>
  <c r="H1163"/>
  <c r="A1164"/>
  <c r="C1164"/>
  <c r="H1164"/>
  <c r="A1165"/>
  <c r="C1165"/>
  <c r="H1165"/>
  <c r="A1166"/>
  <c r="C1166"/>
  <c r="H1166"/>
  <c r="A1167"/>
  <c r="C1167"/>
  <c r="H1167"/>
  <c r="A1168"/>
  <c r="C1168"/>
  <c r="H1168"/>
  <c r="A1169"/>
  <c r="C1169"/>
  <c r="H1169"/>
  <c r="A1170"/>
  <c r="A1171"/>
  <c r="A1172"/>
  <c r="A1173"/>
  <c r="A1174"/>
  <c r="A1175"/>
  <c r="A1176"/>
  <c r="A1177"/>
  <c r="A1178"/>
  <c r="A1179"/>
  <c r="A1180"/>
  <c r="A1181"/>
  <c r="A1182"/>
  <c r="C1182"/>
  <c r="H1182"/>
  <c r="A1183"/>
  <c r="C1183"/>
  <c r="H1183"/>
  <c r="A1184"/>
  <c r="C1184"/>
  <c r="H1184"/>
  <c r="A1185"/>
  <c r="A1186"/>
  <c r="A1187"/>
  <c r="A1188"/>
  <c r="A1189"/>
  <c r="A1190"/>
  <c r="A1191"/>
  <c r="A1192"/>
  <c r="C1192"/>
  <c r="H1192"/>
  <c r="A1193"/>
  <c r="C1193"/>
  <c r="H1193"/>
  <c r="A1194"/>
  <c r="C1194"/>
  <c r="H1194"/>
  <c r="A1195"/>
  <c r="C1195"/>
  <c r="H1195"/>
  <c r="A1196"/>
  <c r="C1196"/>
  <c r="H1196"/>
  <c r="A1197"/>
  <c r="C1197"/>
  <c r="H1197"/>
  <c r="A1198"/>
  <c r="C1198"/>
  <c r="H1198"/>
  <c r="A1199"/>
  <c r="C1199"/>
  <c r="H1199"/>
  <c r="A1200"/>
  <c r="C1200"/>
  <c r="H1200"/>
  <c r="A1201"/>
  <c r="C1201"/>
  <c r="H1201"/>
  <c r="A1202"/>
  <c r="A1203"/>
  <c r="A1204"/>
  <c r="A1205"/>
  <c r="A1206"/>
  <c r="A1207"/>
  <c r="A1208"/>
  <c r="A1209"/>
  <c r="C1209"/>
  <c r="H1209"/>
  <c r="A1210"/>
  <c r="C1210"/>
  <c r="H1210"/>
  <c r="A1211"/>
  <c r="C1211"/>
  <c r="H1211"/>
  <c r="A1212"/>
  <c r="C1212"/>
  <c r="H1212"/>
  <c r="A1213"/>
  <c r="C1213"/>
  <c r="H1213"/>
  <c r="A1214"/>
  <c r="C1214"/>
  <c r="H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C1646"/>
  <c r="H1646"/>
  <c r="A1647"/>
  <c r="C1647"/>
  <c r="H1647"/>
  <c r="A1648"/>
  <c r="C1648"/>
  <c r="H1648"/>
  <c r="A1649"/>
  <c r="C1649"/>
  <c r="H1649"/>
  <c r="A1650"/>
  <c r="C1650"/>
  <c r="H1650"/>
  <c r="A1651"/>
  <c r="C1651"/>
  <c r="H1651"/>
  <c r="A1652"/>
  <c r="C1652"/>
  <c r="H1652"/>
  <c r="A1653"/>
  <c r="C1653"/>
  <c r="H1653"/>
  <c r="A1654"/>
  <c r="C1654"/>
  <c r="H1654"/>
  <c r="A1655"/>
  <c r="C1655"/>
  <c r="H1655"/>
  <c r="A1656"/>
  <c r="C1656"/>
  <c r="H1656"/>
  <c r="A1657"/>
  <c r="C1657"/>
  <c r="H1657"/>
  <c r="A1658"/>
  <c r="A1659"/>
  <c r="A1660"/>
  <c r="A1661"/>
  <c r="A1662"/>
  <c r="A1663"/>
  <c r="A1664"/>
  <c r="A1665"/>
  <c r="A1666"/>
  <c r="A1667"/>
  <c r="A1668"/>
  <c r="A1669"/>
  <c r="A1670"/>
  <c r="A1671"/>
  <c r="C1671"/>
  <c r="H1671"/>
  <c r="A1672"/>
  <c r="C1672"/>
  <c r="H1672"/>
  <c r="A1673"/>
  <c r="C1673"/>
  <c r="H1673"/>
  <c r="A1674"/>
  <c r="C1674"/>
  <c r="H1674"/>
  <c r="A1675"/>
  <c r="C1675"/>
  <c r="H1675"/>
  <c r="A1676"/>
  <c r="C1676"/>
  <c r="H1676"/>
  <c r="A1677"/>
  <c r="C1677"/>
  <c r="H1677"/>
  <c r="A1678"/>
  <c r="C1678"/>
  <c r="H1678"/>
  <c r="A1679"/>
  <c r="C1679"/>
  <c r="H1679"/>
  <c r="A1680"/>
  <c r="C1680"/>
  <c r="H1680"/>
  <c r="A1681"/>
  <c r="C1681"/>
  <c r="H1681"/>
  <c r="A1682"/>
  <c r="C1682"/>
  <c r="H1682"/>
  <c r="A1683"/>
  <c r="C1683"/>
  <c r="H1683"/>
  <c r="A1684"/>
  <c r="C1684"/>
  <c r="H1684"/>
  <c r="A1685"/>
  <c r="C1685"/>
  <c r="H1685"/>
  <c r="A1686"/>
  <c r="C1686"/>
  <c r="H1686"/>
  <c r="A1687"/>
  <c r="C1687"/>
  <c r="H1687"/>
  <c r="A1688"/>
  <c r="C1688"/>
  <c r="H1688"/>
  <c r="A1689"/>
  <c r="C1689"/>
  <c r="H1689"/>
  <c r="A1690"/>
  <c r="C1690"/>
  <c r="H1690"/>
  <c r="A1691"/>
  <c r="C1691"/>
  <c r="H1691"/>
  <c r="A1692"/>
  <c r="C1692"/>
  <c r="H1692"/>
  <c r="A1693"/>
  <c r="C1693"/>
  <c r="H1693"/>
  <c r="A1694"/>
  <c r="C1694"/>
  <c r="H1694"/>
  <c r="A1695"/>
  <c r="C1695"/>
  <c r="H1695"/>
  <c r="A1696"/>
  <c r="C1696"/>
  <c r="H1696"/>
  <c r="A1697"/>
  <c r="C1697"/>
  <c r="H1697"/>
  <c r="A1698"/>
  <c r="C1698"/>
  <c r="H1698"/>
  <c r="A1699"/>
  <c r="C1699"/>
  <c r="H1699"/>
  <c r="A1700"/>
  <c r="C1700"/>
  <c r="H1700"/>
  <c r="A1701"/>
  <c r="C1701"/>
  <c r="H1701"/>
  <c r="A1702"/>
  <c r="C1702"/>
  <c r="H1702"/>
  <c r="A1703"/>
  <c r="C1703"/>
  <c r="H1703"/>
  <c r="A1704"/>
  <c r="A1705"/>
  <c r="A1706"/>
  <c r="A1707"/>
  <c r="A1708"/>
  <c r="A1709"/>
  <c r="A1710"/>
  <c r="A1711"/>
  <c r="A1712"/>
  <c r="A1713"/>
  <c r="A1714"/>
  <c r="A1715"/>
  <c r="A1716"/>
  <c r="C1716"/>
  <c r="A1717"/>
  <c r="C1717"/>
  <c r="A1718"/>
  <c r="C1718"/>
  <c r="A1719"/>
  <c r="C1719"/>
  <c r="A1720"/>
  <c r="C1720"/>
  <c r="A1721"/>
  <c r="C1721"/>
  <c r="A1722"/>
  <c r="C1722"/>
  <c r="A1723"/>
  <c r="C1723"/>
  <c r="A1724"/>
  <c r="C1724"/>
  <c r="A1725"/>
  <c r="C1725"/>
  <c r="A1726"/>
  <c r="C1726"/>
  <c r="A1727"/>
  <c r="C1727"/>
  <c r="A1728"/>
  <c r="C1728"/>
  <c r="A1729"/>
  <c r="C1729"/>
  <c r="A1730"/>
  <c r="C1730"/>
  <c r="A1731"/>
  <c r="C1731"/>
  <c r="A1732"/>
  <c r="C1732"/>
  <c r="A1733"/>
  <c r="C1733"/>
  <c r="A1734"/>
  <c r="C1734"/>
  <c r="A1735"/>
  <c r="C1735"/>
  <c r="A1736"/>
  <c r="C1736"/>
  <c r="A1737"/>
  <c r="C1737"/>
  <c r="A1738"/>
  <c r="C1738"/>
  <c r="A1739"/>
  <c r="C1739"/>
  <c r="A1740"/>
  <c r="C1740"/>
  <c r="A1741"/>
  <c r="C1741"/>
  <c r="A1742"/>
  <c r="C1742"/>
  <c r="A1743"/>
  <c r="C1743"/>
  <c r="A1744"/>
  <c r="C1744"/>
  <c r="A1745"/>
  <c r="C1745"/>
  <c r="A1746"/>
  <c r="C1746"/>
  <c r="A1747"/>
  <c r="C1747"/>
  <c r="A1748"/>
  <c r="C1748"/>
  <c r="A1749"/>
  <c r="C1749"/>
  <c r="A1750"/>
  <c r="C1750"/>
  <c r="A1751"/>
  <c r="C1751"/>
  <c r="A1752"/>
  <c r="C1752"/>
  <c r="A1753"/>
  <c r="C1753"/>
  <c r="A1754"/>
  <c r="C1754"/>
  <c r="A1755"/>
  <c r="C1755"/>
  <c r="A1756"/>
  <c r="C1756"/>
  <c r="A1757"/>
  <c r="C1757"/>
  <c r="A1758"/>
  <c r="C1758"/>
  <c r="A1759"/>
  <c r="C1759"/>
  <c r="A1760"/>
  <c r="C1760"/>
  <c r="A1761"/>
  <c r="C1761"/>
  <c r="A1762"/>
  <c r="C1762"/>
  <c r="A1763"/>
  <c r="C1763"/>
  <c r="A1764"/>
  <c r="C1764"/>
  <c r="A1765"/>
  <c r="C1765"/>
  <c r="A1766"/>
  <c r="C1766"/>
  <c r="A1767"/>
  <c r="C1767"/>
  <c r="A1768"/>
  <c r="C1768"/>
  <c r="A1769"/>
  <c r="C1769"/>
  <c r="A1770"/>
  <c r="C1770"/>
  <c r="A1771"/>
  <c r="C1771"/>
  <c r="A1772"/>
  <c r="C1772"/>
  <c r="A1773"/>
  <c r="C1773"/>
  <c r="A1774"/>
  <c r="C1774"/>
  <c r="A1775"/>
  <c r="C1775"/>
  <c r="A1776"/>
  <c r="C1776"/>
  <c r="A1777"/>
  <c r="C1777"/>
  <c r="A1778"/>
  <c r="C1778"/>
  <c r="A1779"/>
  <c r="C1779"/>
  <c r="A1780"/>
  <c r="C1780"/>
  <c r="A1781"/>
  <c r="C1781"/>
  <c r="A1782"/>
  <c r="C1782"/>
  <c r="A1783"/>
  <c r="C1783"/>
  <c r="A1784"/>
  <c r="C1784"/>
  <c r="A1785"/>
  <c r="C1785"/>
  <c r="A1786"/>
  <c r="C1786"/>
  <c r="A1787"/>
  <c r="C1787"/>
  <c r="A1788"/>
  <c r="C1788"/>
  <c r="A1789"/>
  <c r="C1789"/>
  <c r="A1790"/>
  <c r="C1790"/>
  <c r="A1791"/>
  <c r="C1791"/>
  <c r="A1792"/>
  <c r="C1792"/>
  <c r="A1793"/>
  <c r="C1793"/>
  <c r="A1794"/>
  <c r="C1794"/>
  <c r="A1795"/>
  <c r="C1795"/>
  <c r="A1796"/>
  <c r="C1796"/>
  <c r="A1797"/>
  <c r="C1797"/>
  <c r="A1798"/>
  <c r="C1798"/>
  <c r="A1799"/>
  <c r="C1799"/>
  <c r="A1800"/>
  <c r="C1800"/>
  <c r="A1801"/>
  <c r="C1801"/>
  <c r="A1802"/>
  <c r="C1802"/>
  <c r="A1803"/>
  <c r="C1803"/>
  <c r="A1804"/>
  <c r="C1804"/>
  <c r="A1805"/>
  <c r="C1805"/>
  <c r="A1806"/>
  <c r="C1806"/>
  <c r="A1807"/>
  <c r="C1807"/>
  <c r="A1808"/>
  <c r="C1808"/>
  <c r="A1809"/>
  <c r="C1809"/>
  <c r="A1810"/>
  <c r="C1810"/>
  <c r="A1811"/>
  <c r="C1811"/>
  <c r="A1812"/>
  <c r="C1812"/>
  <c r="A1813"/>
  <c r="C1813"/>
  <c r="A1814"/>
  <c r="C1814"/>
  <c r="A1815"/>
  <c r="C1815"/>
  <c r="A1816"/>
  <c r="C1816"/>
  <c r="A1817"/>
  <c r="C1817"/>
  <c r="A1818"/>
  <c r="C1818"/>
  <c r="A1819"/>
  <c r="C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C2641"/>
  <c r="H2641"/>
  <c r="A2642"/>
  <c r="C2642"/>
  <c r="H2642"/>
  <c r="A2643"/>
  <c r="C2643"/>
  <c r="H2643"/>
  <c r="A2644"/>
  <c r="C2644"/>
  <c r="H2644"/>
  <c r="A2645"/>
  <c r="C2645"/>
  <c r="H2645"/>
  <c r="A2646"/>
  <c r="C2646"/>
  <c r="H2646"/>
  <c r="A2647"/>
  <c r="C2647"/>
  <c r="H2647"/>
  <c r="A2648"/>
  <c r="C2648"/>
  <c r="H2648"/>
  <c r="A2649"/>
  <c r="C2649"/>
  <c r="H2649"/>
  <c r="A2650"/>
  <c r="C2650"/>
  <c r="H2650"/>
  <c r="A2651"/>
  <c r="C2651"/>
  <c r="H2651"/>
  <c r="A2652"/>
  <c r="C2652"/>
  <c r="H2652"/>
  <c r="A2653"/>
  <c r="C2653"/>
  <c r="H2653"/>
  <c r="A2654"/>
  <c r="C2654"/>
  <c r="H2654"/>
  <c r="A2655"/>
  <c r="C2655"/>
  <c r="H2655"/>
  <c r="A2656"/>
  <c r="C2656"/>
  <c r="H2656"/>
  <c r="A2657"/>
  <c r="C2657"/>
  <c r="H2657"/>
  <c r="A2658"/>
  <c r="C2658"/>
  <c r="H2658"/>
  <c r="A2659"/>
  <c r="C2659"/>
  <c r="H2659"/>
  <c r="A2660"/>
  <c r="C2660"/>
  <c r="H2660"/>
  <c r="A2661"/>
  <c r="A2662"/>
  <c r="A2663"/>
  <c r="A2664"/>
  <c r="A2665"/>
  <c r="A2666"/>
  <c r="C2666"/>
  <c r="H2666"/>
  <c r="A2667"/>
  <c r="C2667"/>
  <c r="H2667"/>
  <c r="A2668"/>
  <c r="C2668"/>
  <c r="H2668"/>
  <c r="A2669"/>
  <c r="C2669"/>
  <c r="H2669"/>
  <c r="A2670"/>
  <c r="C2670"/>
  <c r="H2670"/>
  <c r="A2671"/>
  <c r="C2671"/>
  <c r="H2671"/>
  <c r="A2672"/>
  <c r="C2672"/>
  <c r="H2672"/>
  <c r="A2673"/>
  <c r="C2673"/>
  <c r="H2673"/>
</calcChain>
</file>

<file path=xl/sharedStrings.xml><?xml version="1.0" encoding="utf-8"?>
<sst xmlns="http://schemas.openxmlformats.org/spreadsheetml/2006/main" count="18367" uniqueCount="9635">
  <si>
    <t>Код</t>
  </si>
  <si>
    <t>Група</t>
  </si>
  <si>
    <t>Артикул</t>
  </si>
  <si>
    <t>Найменування</t>
  </si>
  <si>
    <t>Харків</t>
  </si>
  <si>
    <t>Грн.</t>
  </si>
  <si>
    <t>Група ТД</t>
  </si>
  <si>
    <t>Артикул ТД</t>
  </si>
  <si>
    <t>Опис</t>
  </si>
  <si>
    <t>ARAL</t>
  </si>
  <si>
    <t>14AF79</t>
  </si>
  <si>
    <t>Aral BlueTronic 10W-40 20L</t>
  </si>
  <si>
    <t>1795.73</t>
  </si>
  <si>
    <t>ACEA A3/B3, A3/B4 • API SL/CF • MB-Freigabe 229.1 • VW 501 01/ 505 00 • erf?llt Fiat 9.55535-D2</t>
  </si>
  <si>
    <t>1505B1</t>
  </si>
  <si>
    <t>Aral High Tronic 5W-40 20L</t>
  </si>
  <si>
    <t>2221.80</t>
  </si>
  <si>
    <t>ACEA C3 • API SN/CF • MB-Freigabe 229.31/ 229.51/ 226.5 • VW 502 00/ 505 00/ 505 01 • BMW Longlife-04 • Porsche A40 • erf?llt Ford WSS-M2C917-A • Renault RN0700 / RN0710</t>
  </si>
  <si>
    <t>154EC0</t>
  </si>
  <si>
    <t>Aral Getriebe?l ATF 22 1Lx12</t>
  </si>
  <si>
    <t xml:space="preserve"> &gt; 5</t>
  </si>
  <si>
    <t>128.34</t>
  </si>
  <si>
    <t>ZF TE-ML 04D, 11A, 14A • Voith H55.6335xx • MB-Freigabe 236.6 • MAN 339 Typ Z1/V1 • entspricht Ford Mercon® • entspricht GM Dexron® II</t>
  </si>
  <si>
    <t>1552A0</t>
  </si>
  <si>
    <t>Aral HighTronic F 5W-30 1Lx12</t>
  </si>
  <si>
    <t>150.08</t>
  </si>
  <si>
    <t>ACEA A1/B1, A5/B5 • API SL/CF • erf?llt Ford WSS-M2C913-A, WSS-M2C913-B, WSS-M2C913-C, WSS-M2C913-D • ILSAC GF-4</t>
  </si>
  <si>
    <t>1552A2</t>
  </si>
  <si>
    <t>Aral HighTronic F 5W-30 4Lx4</t>
  </si>
  <si>
    <t>594.26</t>
  </si>
  <si>
    <t>15546A</t>
  </si>
  <si>
    <t>Aral Getriebe?l EP SYNTH 75W-90 1Lx12</t>
  </si>
  <si>
    <t>245.99</t>
  </si>
  <si>
    <t>API GL-4 + • VW 501 50</t>
  </si>
  <si>
    <t>15548E</t>
  </si>
  <si>
    <t>Aral Getriebe?l ATF 55 1Lx12</t>
  </si>
  <si>
    <t>154.91</t>
  </si>
  <si>
    <t>ZF TE-ML 04D, 14A • Voith H55.6335xx • MB-Freigabe 236.9 • MAN 339 Typ Z1/V1 • Volvo Transmission Oil 9734 • entspricht Ford Mercon® • entspricht GM Dexron® IIIH • Allison C4</t>
  </si>
  <si>
    <t>15549A</t>
  </si>
  <si>
    <t>Aral Getriebe?l ATF 55 20L</t>
  </si>
  <si>
    <t>2228.53</t>
  </si>
  <si>
    <t>AR-10382</t>
  </si>
  <si>
    <t>Aral SuperTronic G SAE 0W-30 1Lx12</t>
  </si>
  <si>
    <t>230.81</t>
  </si>
  <si>
    <t>ACEA A3/B3, A3/B4 • API SL/CF • MB-Freigabe 229.3/ 229.5 • VW 502 00/ 505 00 • BMW Longlife-01 • Opel GM-LL-A-025/ GM-LL-B-025</t>
  </si>
  <si>
    <t>AR-10471</t>
  </si>
  <si>
    <t>Aral SuperTronic LongLife III 5W-30 60L</t>
  </si>
  <si>
    <t>7564.13</t>
  </si>
  <si>
    <t>ACEA C3 • MB-Freigabe 229.51 • VW 503 01/ 504 00/ 507 00 (erf?llt die technischen Anforderungen der ehemaligen VW-Norm 503 01) • BMW Longlife-04 • Porsche C30</t>
  </si>
  <si>
    <t>AR-10472</t>
  </si>
  <si>
    <t>Aral SuperTronic LongLife III 5W-30 20L</t>
  </si>
  <si>
    <t>2654.78</t>
  </si>
  <si>
    <t>AR-10481</t>
  </si>
  <si>
    <t>Aral BlueTronic 10W-40 60L</t>
  </si>
  <si>
    <t>4869.68</t>
  </si>
  <si>
    <t>AR-20458</t>
  </si>
  <si>
    <t>Aral SuperTronic 0W-40 1Lx12</t>
  </si>
  <si>
    <t>207.35</t>
  </si>
  <si>
    <t>ACEA C2/C3 • API SN/CF • MB-Freigabe 229.31/ 229.51 • BMW Longlife-04 • erf?llt Fiat 9.55535-S2</t>
  </si>
  <si>
    <t>AR-20459</t>
  </si>
  <si>
    <t>Aral SuperTronic 0W-40 4Lx4</t>
  </si>
  <si>
    <t>787.98</t>
  </si>
  <si>
    <t>AR-20470</t>
  </si>
  <si>
    <t>Aral SuperTronic LongLife III 5W-30 208L</t>
  </si>
  <si>
    <t>24581.25</t>
  </si>
  <si>
    <t>AR-20475</t>
  </si>
  <si>
    <t>Aral SuperTronic LongLife III 5W-30 5Lx4</t>
  </si>
  <si>
    <t>810.58</t>
  </si>
  <si>
    <t>AR-20478</t>
  </si>
  <si>
    <t>Aral SuperTronic LongLife III 5W-30 1Lx12</t>
  </si>
  <si>
    <t>175.61</t>
  </si>
  <si>
    <t>AR-20479</t>
  </si>
  <si>
    <t>Aral SuperTronic LongLife III 5W-30 4Lx4</t>
  </si>
  <si>
    <t>648.77</t>
  </si>
  <si>
    <t>AR-20484</t>
  </si>
  <si>
    <t>Aral BlueTronic 10W-40 4L</t>
  </si>
  <si>
    <t>470.41</t>
  </si>
  <si>
    <t>AR-20485</t>
  </si>
  <si>
    <t>Aral BlueTronic 10W-40 5Lx4</t>
  </si>
  <si>
    <t>572.70</t>
  </si>
  <si>
    <t>AR-20488</t>
  </si>
  <si>
    <t>Aral BlueTronic 10W-40 1Lx12</t>
  </si>
  <si>
    <t>125.58</t>
  </si>
  <si>
    <t>AR-20631</t>
  </si>
  <si>
    <t>Aral High Tronic 5W-40 60L</t>
  </si>
  <si>
    <t>6122.03</t>
  </si>
  <si>
    <t>AR-20634</t>
  </si>
  <si>
    <t>Aral High Tronic 5W-40 4Lx4</t>
  </si>
  <si>
    <t>566.49</t>
  </si>
  <si>
    <t>AR-20635</t>
  </si>
  <si>
    <t>Aral High Tronic 5W-40 5Lx4</t>
  </si>
  <si>
    <t>711.05</t>
  </si>
  <si>
    <t>AR-20637</t>
  </si>
  <si>
    <t>Aral High Tronic 5W-40 1L</t>
  </si>
  <si>
    <t>155.77</t>
  </si>
  <si>
    <t>AR-22001</t>
  </si>
  <si>
    <t>Aral Turboral 10W-40 60L</t>
  </si>
  <si>
    <t>5130.15</t>
  </si>
  <si>
    <t>ACEA E3, E5, E7 • API CI-4/SL • MB-Freigabe 228.3/ 229.1/ 235.28 • MAN M 3275 • Volvo VDS-2 • Renault RLD • DAF HP-1/HP-2 • Deutz DQC III-10 • MTU ?lkategorie Typ 2 • Caterpillar ECF-2 • Cummins CES 20076, CES 20077, CES 20078 • Mack EOM-Plus</t>
  </si>
  <si>
    <t>AR-22004</t>
  </si>
  <si>
    <t>Aral Turboral 10W-40 5L</t>
  </si>
  <si>
    <t>544.58</t>
  </si>
  <si>
    <t>BI POWER</t>
  </si>
  <si>
    <t>JO Bi-Power Moto 4T 1Lx12 10W-40</t>
  </si>
  <si>
    <t>103.03</t>
  </si>
  <si>
    <t>JO Bi-Power 10w40 1Lx12 SM/CF</t>
  </si>
  <si>
    <t>100.60</t>
  </si>
  <si>
    <t>JO Bi-Power 5w30 1Lx12 SM/CF</t>
  </si>
  <si>
    <t>154.22</t>
  </si>
  <si>
    <t>JO Bi-Power 5w30 4Lx4 SM/CF</t>
  </si>
  <si>
    <t>519.53</t>
  </si>
  <si>
    <t>JO Bi-Power 5w40 1Lx12 SM/CF</t>
  </si>
  <si>
    <t>148.72</t>
  </si>
  <si>
    <t>JO Trans 75w90 Manual 1Lx12</t>
  </si>
  <si>
    <t>167.18</t>
  </si>
  <si>
    <t>CHAMPION</t>
  </si>
  <si>
    <t>CAF100102R</t>
  </si>
  <si>
    <t>CAF100102R     (Champion)</t>
  </si>
  <si>
    <t>75.70</t>
  </si>
  <si>
    <t>Champion</t>
  </si>
  <si>
    <t>AUDI 80 1.6, 1.8S 87-91, 1.6, 2.0 91-94, VW GOLF III 1.4 91-97 (аналог C2852/2)</t>
  </si>
  <si>
    <t>CAF100147R</t>
  </si>
  <si>
    <t>CAF100147R     (Champion)</t>
  </si>
  <si>
    <t>154.74</t>
  </si>
  <si>
    <t>VW T4 1.9-2.5D  -03</t>
  </si>
  <si>
    <t>CAF100186R</t>
  </si>
  <si>
    <t>CAF100186R     (Champion)</t>
  </si>
  <si>
    <t>198.43</t>
  </si>
  <si>
    <t>FIAT DUCATO 1.9TD, 2.5TDI 94-02,  2.0JTD, 2.3JTD, 2.8JTD 01-</t>
  </si>
  <si>
    <t>CAF100431C</t>
  </si>
  <si>
    <t>CAF100431C     (Champion)</t>
  </si>
  <si>
    <t>103.39</t>
  </si>
  <si>
    <t>CITROEN JUMPER I  1.9-2.5D 94 -02, FIAT DUCATO 1.9D-2.5TD  88-02</t>
  </si>
  <si>
    <t>CAF100449C</t>
  </si>
  <si>
    <t>CAF100449C     (Champion)</t>
  </si>
  <si>
    <t>232.12</t>
  </si>
  <si>
    <t>Citroen Jumper III| Fiat Ducato| Peugeot Boxer III</t>
  </si>
  <si>
    <t>CAF100466C</t>
  </si>
  <si>
    <t>CAF100466C     (Champion)</t>
  </si>
  <si>
    <t>245.96</t>
  </si>
  <si>
    <t>Audi, Seat, VW 1.2, 1.4TSI, 2.0FSI, 04-</t>
  </si>
  <si>
    <t>CAF100468C</t>
  </si>
  <si>
    <t>CAF100468C     (Champion)</t>
  </si>
  <si>
    <t>82.37</t>
  </si>
  <si>
    <t>SMART City-Coupe 0.6/0.7 07/98-01/04/Fortwo 0.7 01/04-/Cabrio 0.6/0.7 03/00-01/04</t>
  </si>
  <si>
    <t>CAF100488C</t>
  </si>
  <si>
    <t>CAF100488C     (Champion)</t>
  </si>
  <si>
    <t>206.44</t>
  </si>
  <si>
    <t>MITSUBISHI PAJERO 2.5TD 90-00,  2.8TD, 3.0i  94-00</t>
  </si>
  <si>
    <t>CAF100489R</t>
  </si>
  <si>
    <t>CAF100489R     (Champion)</t>
  </si>
  <si>
    <t>229.28</t>
  </si>
  <si>
    <t>Audi A4 II, A5 2.7TDI, 3.0TDI 07-</t>
  </si>
  <si>
    <t>CAF100501P</t>
  </si>
  <si>
    <t>CAF100501P     (Champion)</t>
  </si>
  <si>
    <t>73.54</t>
  </si>
  <si>
    <t>OPEL REKORD 2.0 1.8  85-86, 2.0 77-84, 2.2 84-86</t>
  </si>
  <si>
    <t>CAF100505P</t>
  </si>
  <si>
    <t>CAF100505P     (Champion)</t>
  </si>
  <si>
    <t>68.20</t>
  </si>
  <si>
    <t>VW TRANSPORTER 1.6-2.1 -92, AUDI 100 1.8i-2.3i  -90, LADA 2110</t>
  </si>
  <si>
    <t>CAF100507P</t>
  </si>
  <si>
    <t>CAF100507P     (Champion)</t>
  </si>
  <si>
    <t>88.71</t>
  </si>
  <si>
    <t>OPEL OMEGA 1.8-2.0 86-94</t>
  </si>
  <si>
    <t>CAF100508P</t>
  </si>
  <si>
    <t>CAF100508P     (Champion)</t>
  </si>
  <si>
    <t>50.03</t>
  </si>
  <si>
    <t>VW GOLF II, JETTA II 1.6, 1.8 83-91</t>
  </si>
  <si>
    <t>CAF100516P</t>
  </si>
  <si>
    <t>CAF100516P     (Champion)</t>
  </si>
  <si>
    <t>110.22</t>
  </si>
  <si>
    <t>MB W201 (D2.0) 83-93, W124 (200D, E200D) -95</t>
  </si>
  <si>
    <t>CAF100527P</t>
  </si>
  <si>
    <t>CAF100527P     (Champion)</t>
  </si>
  <si>
    <t>91.71</t>
  </si>
  <si>
    <t>BMW 316i, 318i, 518i, 520i  87-97 (M20,M40,M42,M43 - eng.)</t>
  </si>
  <si>
    <t>CAF100533P</t>
  </si>
  <si>
    <t>CAF100533P     (Champion)</t>
  </si>
  <si>
    <t>71.87</t>
  </si>
  <si>
    <t>FIAT TEMPRA 1.4i 91-96, TIPO,UNO 1.4i 89-95, Tavria/Slavuta 1.2i, 1.3i</t>
  </si>
  <si>
    <t>CAF100554P</t>
  </si>
  <si>
    <t>CAF100554P     (Champion)</t>
  </si>
  <si>
    <t>OPEL Calibra, Vectra A  1.7D -95, 2.0i, 2.0i TURBO, 2.5i -95</t>
  </si>
  <si>
    <t>CAF100567P</t>
  </si>
  <si>
    <t>CAF100567P     (Champion)</t>
  </si>
  <si>
    <t>111.06</t>
  </si>
  <si>
    <t>VW Group 97-05 All eng</t>
  </si>
  <si>
    <t>CAF100572P</t>
  </si>
  <si>
    <t>CAF100572P     (Champion)</t>
  </si>
  <si>
    <t>79.04</t>
  </si>
  <si>
    <t>AUDI 100 2.0- 2.8 91-94,  A6 1.8-2.8,  94-97  VW Golf II Passat  -97</t>
  </si>
  <si>
    <t>CAF100582P</t>
  </si>
  <si>
    <t>CAF100582P     (Champion)</t>
  </si>
  <si>
    <t>77.37</t>
  </si>
  <si>
    <t>SEAT Toledo, Cordoba, Inca 1.6, 1.9CDI  94-00 WV Caddy II, Polo</t>
  </si>
  <si>
    <t>CAF100583P</t>
  </si>
  <si>
    <t>CAF100583P     (Champion)</t>
  </si>
  <si>
    <t>VW GOLF III, VENTO 91-98</t>
  </si>
  <si>
    <t>CAF100605P</t>
  </si>
  <si>
    <t>CAF100605P     (Champion)</t>
  </si>
  <si>
    <t>146.41</t>
  </si>
  <si>
    <t>Nissan X-Trail 2.0-2.5 01- , Teana 2.5-3.5 08-, Subaru Forester 2.0-2.5, Impreza 1.6-2.0, 00-</t>
  </si>
  <si>
    <t>CAF100607P</t>
  </si>
  <si>
    <t>CAF100607P     (Champion)</t>
  </si>
  <si>
    <t>101.38</t>
  </si>
  <si>
    <t>BMW 320i 90-98, 325i 90-, 525i, 530i 00-</t>
  </si>
  <si>
    <t>CAF100612P</t>
  </si>
  <si>
    <t>CAF100612P     (Champion)</t>
  </si>
  <si>
    <t>76.20</t>
  </si>
  <si>
    <t>FORD Escort 1.6-1.8i, 1.8D, 90-95</t>
  </si>
  <si>
    <t>CAF100626P</t>
  </si>
  <si>
    <t>CAF100626P     (Champion)</t>
  </si>
  <si>
    <t>95.05</t>
  </si>
  <si>
    <t>FORD TRANSIT 2.5D/TD/DI 88-00,  LDV Convoy 2.5DI, 91-09</t>
  </si>
  <si>
    <t>CAF100628P</t>
  </si>
  <si>
    <t>CAF100628P     (Champion)</t>
  </si>
  <si>
    <t>112.22</t>
  </si>
  <si>
    <t>MB W124 (E200, E220) 93-98</t>
  </si>
  <si>
    <t>CAF100634P</t>
  </si>
  <si>
    <t>CAF100634P     (Champion)</t>
  </si>
  <si>
    <t>90.05</t>
  </si>
  <si>
    <t>FORD TRANSIT 2.5DI/TD 92-00</t>
  </si>
  <si>
    <t>CAF100641P</t>
  </si>
  <si>
    <t>CAF100641P     (Champion)</t>
  </si>
  <si>
    <t>OPEL COMBO 1.7D 94-01, CORSA 1.5D/TD, 1.7D 93-00</t>
  </si>
  <si>
    <t>CAF100651P</t>
  </si>
  <si>
    <t>CAF100651P     (Champion)</t>
  </si>
  <si>
    <t>190.10</t>
  </si>
  <si>
    <t>BMW 325TD/TDS 91-98, 525TD/TDS 91- (M51D25 - engine)</t>
  </si>
  <si>
    <t>CAF100657P</t>
  </si>
  <si>
    <t>CAF100657P     (Champion)</t>
  </si>
  <si>
    <t>72.70</t>
  </si>
  <si>
    <t>OPEL ASTRA F, Kadett E 1.4-1.8i 91-98</t>
  </si>
  <si>
    <t>CAF100670P</t>
  </si>
  <si>
    <t>CAF100670P     (Champion)</t>
  </si>
  <si>
    <t>113.06</t>
  </si>
  <si>
    <t>OPEL VECTRA 1.6-2.5 95-00</t>
  </si>
  <si>
    <t>CAF100671P</t>
  </si>
  <si>
    <t>CAF100671P     (Champion)</t>
  </si>
  <si>
    <t>89.54</t>
  </si>
  <si>
    <t>MAZDA 626 (GC, GD) 2.0i-2.2i  -97, FORD Fiesta IV 1.0-1.8  - 02</t>
  </si>
  <si>
    <t>CAF100672P</t>
  </si>
  <si>
    <t>CAF100672P     (Champion)</t>
  </si>
  <si>
    <t>132.40</t>
  </si>
  <si>
    <t>MB W124 (E420, E500 )91-93, W140 (S420,S500) 93-98</t>
  </si>
  <si>
    <t>CAF100682P</t>
  </si>
  <si>
    <t>CAF100682P     (Champion)</t>
  </si>
  <si>
    <t>93.71</t>
  </si>
  <si>
    <t>Daewoo Lanos 1.5-1.6 97-</t>
  </si>
  <si>
    <t>CAF100688P</t>
  </si>
  <si>
    <t>CAF100688P     (Champion)</t>
  </si>
  <si>
    <t>181.76</t>
  </si>
  <si>
    <t>MB VITO 108D, 110TD, 113 (M111.948), 114 (M111.978)  96-</t>
  </si>
  <si>
    <t>CAF100689P</t>
  </si>
  <si>
    <t>CAF100689P     (Champion)</t>
  </si>
  <si>
    <t>98.05</t>
  </si>
  <si>
    <t>OPEL  ASTRA G, ASTRA H, ZAFIRA B, 1.6-2.0, 98-</t>
  </si>
  <si>
    <t>CAF100692P</t>
  </si>
  <si>
    <t>CAF100692P     (Champion)</t>
  </si>
  <si>
    <t>175.42</t>
  </si>
  <si>
    <t>MB SPRINTER all engines 95-00, LT II 28-46 , 96-06 (для запилених умов)</t>
  </si>
  <si>
    <t>CAF100694P</t>
  </si>
  <si>
    <t>CAF100694P     (Champion)</t>
  </si>
  <si>
    <t>100.05</t>
  </si>
  <si>
    <t>VW SHARAN, SEAT ALHAMBRA, FORD GALAXY 2.0 бен., 1.9TDI 95-00</t>
  </si>
  <si>
    <t>CAF100696P</t>
  </si>
  <si>
    <t>CAF100696P     (Champion)</t>
  </si>
  <si>
    <t>158.08</t>
  </si>
  <si>
    <t>VW/ SEAT/ SKODA 1.4 16v-1.6 16v,  96-05</t>
  </si>
  <si>
    <t>CAF100697P</t>
  </si>
  <si>
    <t>CAF100697P     (Champion)</t>
  </si>
  <si>
    <t>92.05</t>
  </si>
  <si>
    <t>FORD Fiesta IV Focus, Connect 1.6-2.0i, 1.8TD  98-</t>
  </si>
  <si>
    <t>CAF100700P</t>
  </si>
  <si>
    <t>CAF100700P     (Champion)</t>
  </si>
  <si>
    <t>113.56</t>
  </si>
  <si>
    <t>MB (W210) E200-E420, E200D-E300D 95-99</t>
  </si>
  <si>
    <t>CAF100701P</t>
  </si>
  <si>
    <t>CAF100701P     (Champion)</t>
  </si>
  <si>
    <t>147.57</t>
  </si>
  <si>
    <t>AUDI A4,A6 Allroad, VW PASSAT 2,5TDI 97-</t>
  </si>
  <si>
    <t>CAF100703P</t>
  </si>
  <si>
    <t>CAF100703P     (Champion)</t>
  </si>
  <si>
    <t>122.56</t>
  </si>
  <si>
    <t>OPEL VECTRA 2.2DI/DTI 96-02,  2.2i  09/00-</t>
  </si>
  <si>
    <t>CAF100705P</t>
  </si>
  <si>
    <t>CAF100705P     (Champion)</t>
  </si>
  <si>
    <t>183.43</t>
  </si>
  <si>
    <t>Renault Clio II, Kangoo  1.9D 97-03</t>
  </si>
  <si>
    <t>CAF100706P</t>
  </si>
  <si>
    <t>CAF100706P     (Champion)</t>
  </si>
  <si>
    <t>143.91</t>
  </si>
  <si>
    <t>CITROEN BERLINGO, PEUGEOT PARTNER 2.0HDI  99-</t>
  </si>
  <si>
    <t>CAF100707P</t>
  </si>
  <si>
    <t>CAF100707P     (Champion)</t>
  </si>
  <si>
    <t>140.90</t>
  </si>
  <si>
    <t>RENAULT MASTER 2.5TD, 2.8DTI 98-, 2.2DCI 00- /318 X 262 X 42.3/</t>
  </si>
  <si>
    <t>CAF100715C</t>
  </si>
  <si>
    <t>CAF100715C     (Champion)</t>
  </si>
  <si>
    <t>107.22</t>
  </si>
  <si>
    <t>FIAT DOBLO 1.6, 1.9 D,  02-</t>
  </si>
  <si>
    <t>CAF100715P</t>
  </si>
  <si>
    <t>CAF100715P     (Champion)</t>
  </si>
  <si>
    <t>Ibiza, Polo, SKODA Fabia 1.2-1.4  00-</t>
  </si>
  <si>
    <t>CAF100716R</t>
  </si>
  <si>
    <t>CAF100716R     (Champion)</t>
  </si>
  <si>
    <t>117.73</t>
  </si>
  <si>
    <t>RENAULT Clio II, Kangoo, Megane 1.4, Symbol II 1.4i  96-</t>
  </si>
  <si>
    <t>CAF100718P</t>
  </si>
  <si>
    <t>CAF100718P     (Champion)</t>
  </si>
  <si>
    <t>112.72</t>
  </si>
  <si>
    <t>OPEL CORSA (all engines 09/00-), MERIVA  03-</t>
  </si>
  <si>
    <t>CAF100719P</t>
  </si>
  <si>
    <t>CAF100719P     (Champion)</t>
  </si>
  <si>
    <t>SKODA Fabia I 1.4-1.9 Tdi, Praktik, Roomster 1.4-1.9 Tdi, SEAT Cordoba III, Ibiza IV 1.4-1,9 TDi</t>
  </si>
  <si>
    <t>CAF100722P</t>
  </si>
  <si>
    <t>CAF100722P     (Champion)</t>
  </si>
  <si>
    <t>116.56</t>
  </si>
  <si>
    <t>FORD TRANSIT 2.0DI, 2.4DI 00-, 2.3i 01-</t>
  </si>
  <si>
    <t>CAF100724P</t>
  </si>
  <si>
    <t>CAF100724P     (Champion)</t>
  </si>
  <si>
    <t>121.06</t>
  </si>
  <si>
    <t>OPEL MOVANO 2.8Dti  99-01</t>
  </si>
  <si>
    <t>CAF100733P</t>
  </si>
  <si>
    <t>CAF100733P     (Champion)</t>
  </si>
  <si>
    <t>115.72</t>
  </si>
  <si>
    <t>VW T4 2.0, 2.5, 2.8VR6, 1.9TD, 2.4D, 2.5TDI 90-</t>
  </si>
  <si>
    <t>CAF100734P</t>
  </si>
  <si>
    <t>CAF100734P     (Champion)</t>
  </si>
  <si>
    <t>110.56</t>
  </si>
  <si>
    <t>SKODA FABIA 1.4i 16v, 99-, VW GOLF,BORA 1.6I 16v, 00-</t>
  </si>
  <si>
    <t>CAF100735P</t>
  </si>
  <si>
    <t>CAF100735P     (Champion)</t>
  </si>
  <si>
    <t>120.23</t>
  </si>
  <si>
    <t>CITROEN C2/C3 1,4HDI, FORD Fiesta 1,4 TD, PEUGEOT 206,307 1,4HDI</t>
  </si>
  <si>
    <t>CAF100736P</t>
  </si>
  <si>
    <t>CAF100736P     (Champion)</t>
  </si>
  <si>
    <t>99.72</t>
  </si>
  <si>
    <t>VW POLO 1.2i 10/01-</t>
  </si>
  <si>
    <t>CAF100737P</t>
  </si>
  <si>
    <t>CAF100737P     (Champion)</t>
  </si>
  <si>
    <t>60.53</t>
  </si>
  <si>
    <t>RENAULT  Megane, Kangoo, Trafic 1.9 diesel eng. 96-03</t>
  </si>
  <si>
    <t>CAF100739P</t>
  </si>
  <si>
    <t>CAF100739P     (Champion)</t>
  </si>
  <si>
    <t>84.88</t>
  </si>
  <si>
    <t>Renault ClioII, Kangoo Logan, Sandero  1.5dCi 01-, Nissan Kubistar 1.5dCi 03-</t>
  </si>
  <si>
    <t>CAF100742P</t>
  </si>
  <si>
    <t>CAF100742P     (Champion)</t>
  </si>
  <si>
    <t>135.40</t>
  </si>
  <si>
    <t>MB C-class C180-C230, C200D-C250D 93-99, M-class ML230-ML430 98-</t>
  </si>
  <si>
    <t>CAF100748P</t>
  </si>
  <si>
    <t>CAF100748P     (Champion)</t>
  </si>
  <si>
    <t>199.77</t>
  </si>
  <si>
    <t>SKODA Fabia, VW Polo, SEAT Ibiza 1.4-1.6i 16v  06-</t>
  </si>
  <si>
    <t>CAF100752P</t>
  </si>
  <si>
    <t>CAF100752P     (Champion)</t>
  </si>
  <si>
    <t>119.06</t>
  </si>
  <si>
    <t>BERLINGO 1,9D/2,0HDI 99-</t>
  </si>
  <si>
    <t>CAF100753P</t>
  </si>
  <si>
    <t>CAF100753P     (Champion)</t>
  </si>
  <si>
    <t>76.37</t>
  </si>
  <si>
    <t>CITROEN Berlingo/C2/C3 1,1-1,4   02-, PEUGEOT Partner /1007</t>
  </si>
  <si>
    <t>CAF100755P</t>
  </si>
  <si>
    <t>CAF100755P     (Champion)</t>
  </si>
  <si>
    <t>153.74</t>
  </si>
  <si>
    <t>RENAULT Megan II 1,5dCi 11/02-,Scenic 1,5-2,0dCi6/03-</t>
  </si>
  <si>
    <t>CAF100757P</t>
  </si>
  <si>
    <t>CAF100757P     (Champion)</t>
  </si>
  <si>
    <t>DAEWOO MATIZ 0.8  98-</t>
  </si>
  <si>
    <t>CAF100762P</t>
  </si>
  <si>
    <t>CAF100762P     (Champion)</t>
  </si>
  <si>
    <t>123.73</t>
  </si>
  <si>
    <t>FORD Focus C-Max 1,6TDCi 10/03-</t>
  </si>
  <si>
    <t>CAF100769P</t>
  </si>
  <si>
    <t>CAF100769P     (Champion)</t>
  </si>
  <si>
    <t>177.09</t>
  </si>
  <si>
    <t>OPEL Movano 2.2CDTi/2.5CDTi 03-, RENAULT Master 2.2DCi/2.5DCi 03-</t>
  </si>
  <si>
    <t>CAF100770P</t>
  </si>
  <si>
    <t>CAF100770P     (Champion)</t>
  </si>
  <si>
    <t>192.10</t>
  </si>
  <si>
    <t>Nissan Primastar, Opel Vivaro, Renault Trafic II 2.0-2.5dCi 06-</t>
  </si>
  <si>
    <t>CAF100785P</t>
  </si>
  <si>
    <t>CAF100785P     (Champion)</t>
  </si>
  <si>
    <t>203.60</t>
  </si>
  <si>
    <t>MB W220 (S280, S320, S430, S500) 98-   (кмпл. 2шт.)</t>
  </si>
  <si>
    <t>CAF100787P</t>
  </si>
  <si>
    <t>CAF100787P     (Champion)</t>
  </si>
  <si>
    <t>133.73</t>
  </si>
  <si>
    <t>MB C, E, M-class, 2.0-3.2CDI  01 -07</t>
  </si>
  <si>
    <t>CAF100788P</t>
  </si>
  <si>
    <t>CAF100788P     (Champion)</t>
  </si>
  <si>
    <t>167.75</t>
  </si>
  <si>
    <t>MERCEDES Vito 119/122 W639 mot.M112 9/03-</t>
  </si>
  <si>
    <t>CAF100792P</t>
  </si>
  <si>
    <t>CAF100792P     (Champion)</t>
  </si>
  <si>
    <t>101.72</t>
  </si>
  <si>
    <t>HYUNDAI GETZ 02-</t>
  </si>
  <si>
    <t>CAF100806P</t>
  </si>
  <si>
    <t>CAF100806P     (Champion)</t>
  </si>
  <si>
    <t>149.24</t>
  </si>
  <si>
    <t>AUDI A3, VW GOLF, TOURAN  1.9TDI, 2.0TDI  03-</t>
  </si>
  <si>
    <t>CAF100808P</t>
  </si>
  <si>
    <t>CAF100808P     (Champion)</t>
  </si>
  <si>
    <t>201.43</t>
  </si>
  <si>
    <t>Cayenne, Q7, Toureg 3.0-5.0, 02-</t>
  </si>
  <si>
    <t>CAF100810P</t>
  </si>
  <si>
    <t>CAF100810P     (Champion)</t>
  </si>
  <si>
    <t>105.55</t>
  </si>
  <si>
    <t>Ford Fiesta V  1.4i 16V, 1.6i 16V  02--08, Mini Cooper 1.6i</t>
  </si>
  <si>
    <t>CAF100836P</t>
  </si>
  <si>
    <t>CAF100836P     (Champion)</t>
  </si>
  <si>
    <t>160.25</t>
  </si>
  <si>
    <t>CITROEN C5 1.6HDi 09/04-, PEUGEOT 407 1.6HDi 05/04-</t>
  </si>
  <si>
    <t>CAF100837P</t>
  </si>
  <si>
    <t>CAF100837P     (Champion)</t>
  </si>
  <si>
    <t>154.41</t>
  </si>
  <si>
    <t>VW T5 1.9TDI, 2.5TDI, 2.0, 3.2 V6  03-</t>
  </si>
  <si>
    <t>CAF100839P</t>
  </si>
  <si>
    <t>CAF100839P     (Champion)</t>
  </si>
  <si>
    <t>156.91</t>
  </si>
  <si>
    <t>OPEL Signum, Vectra C 1.9-3.2, 02-, FIAT Croma II 1.9 D, 2.2i 05-</t>
  </si>
  <si>
    <t>CAF100859P</t>
  </si>
  <si>
    <t>CAF100859P     (Champion)</t>
  </si>
  <si>
    <t>84.04</t>
  </si>
  <si>
    <t>CITROEN C3, C4, Berlingo 1.6HDi 04-, Peugeot 207, 307, Partner 1,6HDi</t>
  </si>
  <si>
    <t>CAF100868P</t>
  </si>
  <si>
    <t>CAF100868P     (Champion)</t>
  </si>
  <si>
    <t>102.22</t>
  </si>
  <si>
    <t>Landrover Discovery III, IV 2.7-4.4,  04- ,Range Rover III</t>
  </si>
  <si>
    <t>CAF100870P</t>
  </si>
  <si>
    <t>CAF100870P     (Champion)</t>
  </si>
  <si>
    <t>Mitsubishi Pajero III/IV 00-</t>
  </si>
  <si>
    <t>CAF100871P</t>
  </si>
  <si>
    <t>CAF100871P     (Champion)</t>
  </si>
  <si>
    <t>162.41</t>
  </si>
  <si>
    <t>MB SPRINTER all engines 95-00</t>
  </si>
  <si>
    <t>CAF100872P</t>
  </si>
  <si>
    <t>CAF100872P     (Champion)</t>
  </si>
  <si>
    <t>225.78</t>
  </si>
  <si>
    <t>MERCEDES Sprinter 06-,  VW Crafter  2.5TDI, 06-</t>
  </si>
  <si>
    <t>CAF100873P</t>
  </si>
  <si>
    <t>CAF100873P     (Champion)</t>
  </si>
  <si>
    <t>KIA Rio II, HYUNDAI Accent III 1.4-1.6 05-</t>
  </si>
  <si>
    <t>CAF100881P</t>
  </si>
  <si>
    <t>CAF100881P     (Champion)</t>
  </si>
  <si>
    <t>Mitsubishi Outlander, ASX, Lancer, Citroen C-Crosser 1.6-2.0 08-</t>
  </si>
  <si>
    <t>CAF100885P</t>
  </si>
  <si>
    <t>CAF100885P     (Champion)</t>
  </si>
  <si>
    <t>103.05</t>
  </si>
  <si>
    <t>PEUGEOT 206, 307 1.1-1.4i,  03-</t>
  </si>
  <si>
    <t>CAF100886P</t>
  </si>
  <si>
    <t>CAF100886P     (Champion)</t>
  </si>
  <si>
    <t>146.74</t>
  </si>
  <si>
    <t>TOYOTA LC, Prado 3.0 D-4D, 02 -</t>
  </si>
  <si>
    <t>CAF100889P</t>
  </si>
  <si>
    <t>CAF100889P     (Champion)</t>
  </si>
  <si>
    <t>148.41</t>
  </si>
  <si>
    <t>Ford Transit 2.2TDCI 06--  /AP023/4/</t>
  </si>
  <si>
    <t>CAF100891P</t>
  </si>
  <si>
    <t>CAF100891P     (Champion)</t>
  </si>
  <si>
    <t>143.41</t>
  </si>
  <si>
    <t>KIA Ceed 1.4-2.0 06-</t>
  </si>
  <si>
    <t>CAF100915P</t>
  </si>
  <si>
    <t>CAF100915P     (Champion)</t>
  </si>
  <si>
    <t>176.76</t>
  </si>
  <si>
    <t>RENAULT Megane III , Scenic , Fluence 1.6i, 1.5-1.9 dCi  08 -</t>
  </si>
  <si>
    <t>CAF100920P</t>
  </si>
  <si>
    <t>CAF100920P     (Champion)</t>
  </si>
  <si>
    <t>148.07</t>
  </si>
  <si>
    <t>Toyota RAV 4 III 2.0 VVT-i, 2.4 VVT-i, 3.5 VVT-i  11/05- (ОЕ 1780131120, 17801AD010)  /LX2681/</t>
  </si>
  <si>
    <t>CAF100921P</t>
  </si>
  <si>
    <t>CAF100921P     (Champion)</t>
  </si>
  <si>
    <t>Citroen C4, C4 Picasso 1.4i 16V, Mini One II, Peugeot 207, 3008, 308 1.4VTi, 1.6VTi</t>
  </si>
  <si>
    <t>CAF100928P</t>
  </si>
  <si>
    <t>CAF100928P     (Champion)</t>
  </si>
  <si>
    <t>198.10</t>
  </si>
  <si>
    <t>JEEP CHEROKEE III , COMMANDER 2,5-5,7  03-10</t>
  </si>
  <si>
    <t>CAF100934P</t>
  </si>
  <si>
    <t>CAF100934P     (Champion)</t>
  </si>
  <si>
    <t>346.67</t>
  </si>
  <si>
    <t>BMW E60/E63 2.0D/3.5D 09.04-</t>
  </si>
  <si>
    <t>CAF100935P</t>
  </si>
  <si>
    <t>CAF100935P     (Champion)</t>
  </si>
  <si>
    <t>230.12</t>
  </si>
  <si>
    <t>Hyundai ix35 2.0, 2.0CRDI| Kia Sportage 2.0, 2.0CRDI 7/10-</t>
  </si>
  <si>
    <t>CAF100940P</t>
  </si>
  <si>
    <t>CAF100940P     (Champion)</t>
  </si>
  <si>
    <t>119.39</t>
  </si>
  <si>
    <t>Toyota Auris 07- , Avensis 09-, Corolla Yaris 07-  /WA9627/</t>
  </si>
  <si>
    <t>CAF100942P</t>
  </si>
  <si>
    <t>CAF100942P     (Champion)</t>
  </si>
  <si>
    <t>Lexus RX300, RX350| Toyota</t>
  </si>
  <si>
    <t>CAF100944P</t>
  </si>
  <si>
    <t>CAF100944P     (Champion)</t>
  </si>
  <si>
    <t>150.58</t>
  </si>
  <si>
    <t>KIA Sportage 1.7 CRDi</t>
  </si>
  <si>
    <t>CAF100952P</t>
  </si>
  <si>
    <t>CAF100952P     (Champion)</t>
  </si>
  <si>
    <t>130.73</t>
  </si>
  <si>
    <t>OPEL CORSA D 06-</t>
  </si>
  <si>
    <t>CAF100954P</t>
  </si>
  <si>
    <t>CAF100954P     (Champion)</t>
  </si>
  <si>
    <t>255.29</t>
  </si>
  <si>
    <t>Opel, INSIGNIA 07/08 -</t>
  </si>
  <si>
    <t>CAF100956P</t>
  </si>
  <si>
    <t>CAF100956P     (Champion)</t>
  </si>
  <si>
    <t>92.55</t>
  </si>
  <si>
    <t>NISSAN Micra (K12) 1.6 16V, Note 1.6 16V, Qashqai 1.5 dCi</t>
  </si>
  <si>
    <t>CAF100971P</t>
  </si>
  <si>
    <t>CAF100971P     (Champion)</t>
  </si>
  <si>
    <t>260.80</t>
  </si>
  <si>
    <t>CITROEN C4 2.0 HDI 11/04- Picasso 2.0 HDI 02/07-Grand Picasso 2.0 HDI 10/06- PEUGEOT 308 2.0 HDI 09/07-</t>
  </si>
  <si>
    <t>CAF100974P</t>
  </si>
  <si>
    <t>CAF100974P     (Champion)</t>
  </si>
  <si>
    <t>Citroen C8, Jumpy II| Fiat Scudo II, Ulysse II| Peugeot Expert II, 807 (ОЕ 1444.QW)</t>
  </si>
  <si>
    <t>CAF100981P</t>
  </si>
  <si>
    <t>CAF100981P     (Champion)</t>
  </si>
  <si>
    <t>214.44</t>
  </si>
  <si>
    <t>Renault Laguna III 2.0dCi 08-</t>
  </si>
  <si>
    <t>CAF100986P</t>
  </si>
  <si>
    <t>CAF100986P     (Champion)</t>
  </si>
  <si>
    <t>CHEVROLET CRUZE 1.6, 1.8  09-</t>
  </si>
  <si>
    <t>CCF0001</t>
  </si>
  <si>
    <t>CCF0001     (Champion)</t>
  </si>
  <si>
    <t>84.54</t>
  </si>
  <si>
    <t>A3 1.6-1.9 96-06, SKODA OCTAVIA 97-, VW GOLF III, PASSAT B6  00-</t>
  </si>
  <si>
    <t>CCF0001C</t>
  </si>
  <si>
    <t>CCF0001C     (Champion)</t>
  </si>
  <si>
    <t>SKODA OCTAVIA 1.4-2.0, 1.9TDI 97-, VW GOLF III,PASSAT 1.4-2.0, 1.9TDI  97-</t>
  </si>
  <si>
    <t>CCF0002</t>
  </si>
  <si>
    <t>CCF0002     (Champion)</t>
  </si>
  <si>
    <t>77.04</t>
  </si>
  <si>
    <t>OPEL VECTRA 95-02  Omega A -94</t>
  </si>
  <si>
    <t>CCF0003</t>
  </si>
  <si>
    <t>CCF0003     (Champion)</t>
  </si>
  <si>
    <t>105.22</t>
  </si>
  <si>
    <t>KIA Rio II,III, Sportage 06-, i40, Tucson -10</t>
  </si>
  <si>
    <t>CCF0006</t>
  </si>
  <si>
    <t>CCF0006     (Champion)</t>
  </si>
  <si>
    <t>131.57</t>
  </si>
  <si>
    <t>Citroen C8, Jumpy, FIAT Scudo,Ulysse 96-</t>
  </si>
  <si>
    <t>CCF0013</t>
  </si>
  <si>
    <t>CCF0013     (Champion)</t>
  </si>
  <si>
    <t>131.23</t>
  </si>
  <si>
    <t>OPEL Astra G, H, Zafira A 98-</t>
  </si>
  <si>
    <t>CCF0013C</t>
  </si>
  <si>
    <t>CCF0013C     (Champion)</t>
  </si>
  <si>
    <t>210.27</t>
  </si>
  <si>
    <t>OPEL Astra G,  Astra H , Astra J, Zafira A 98- (вугільний)</t>
  </si>
  <si>
    <t>CCF0017</t>
  </si>
  <si>
    <t>CCF0017     (Champion)</t>
  </si>
  <si>
    <t>Fiat Sedici 6/06| Suzuki SX-4 6/06, Swift III (SG) 2/05</t>
  </si>
  <si>
    <t>CCF0019</t>
  </si>
  <si>
    <t>CCF0019     (Champion)</t>
  </si>
  <si>
    <t>VW PASSAT B4 94-97</t>
  </si>
  <si>
    <t>CCF0021C</t>
  </si>
  <si>
    <t>CCF0021C     (Champion)</t>
  </si>
  <si>
    <t>197.60</t>
  </si>
  <si>
    <t>VAG Q7/ T5/ Multivan/ Touareg /Cayenne 2, 5…6, 0L / Di  03- (вугільний)</t>
  </si>
  <si>
    <t>CCF0023</t>
  </si>
  <si>
    <t>CCF0023     (Champion)</t>
  </si>
  <si>
    <t>102.55</t>
  </si>
  <si>
    <t>Ford Focus II, Volvo S40 II, V50  04-</t>
  </si>
  <si>
    <t>CCF0023C</t>
  </si>
  <si>
    <t>CCF0023C     (Champion)</t>
  </si>
  <si>
    <t>179.09</t>
  </si>
  <si>
    <t>FORD Focus II 04-, VOLVO C70, S40 II, V50 04/04-</t>
  </si>
  <si>
    <t>CCF0024</t>
  </si>
  <si>
    <t>CCF0024     (Champion)</t>
  </si>
  <si>
    <t>Focus I 1.4 -2.0, 98-04</t>
  </si>
  <si>
    <t>CCF0024C</t>
  </si>
  <si>
    <t>CCF0024C     (Champion)</t>
  </si>
  <si>
    <t>182.76</t>
  </si>
  <si>
    <t>FORD Focus I 1.4 -2.0, 98-04, Transit Connect 02- (вугільний)</t>
  </si>
  <si>
    <t>CCF0025</t>
  </si>
  <si>
    <t>CCF0025     (Champion)</t>
  </si>
  <si>
    <t>173.09</t>
  </si>
  <si>
    <t>AVEO 1.2-1.5,  02-  крім 1.6 (Китай)</t>
  </si>
  <si>
    <t>CCF0026</t>
  </si>
  <si>
    <t>CCF0026     (Champion)</t>
  </si>
  <si>
    <t>184.59</t>
  </si>
  <si>
    <t>LACETTI/NUBIRA 03-</t>
  </si>
  <si>
    <t>CCF0028</t>
  </si>
  <si>
    <t>CCF0028     (Champion)</t>
  </si>
  <si>
    <t>96.72</t>
  </si>
  <si>
    <t>CITROEN Berlingo 1.1-2.0 HDI  96-, Xsara 1.4-2.0/D/HDI/16V 07/98-03/05.PEUGEOT Partner 1.1-2.0/D/HDI/16V 96-</t>
  </si>
  <si>
    <t>CCF0029</t>
  </si>
  <si>
    <t>CCF0029     (Champion)</t>
  </si>
  <si>
    <t>166.08</t>
  </si>
  <si>
    <t>VOLVO S60, S70, XC70, XC90,  98-</t>
  </si>
  <si>
    <t>CCF0029C</t>
  </si>
  <si>
    <t>CCF0029C     (Champion)</t>
  </si>
  <si>
    <t>251.96</t>
  </si>
  <si>
    <t>Volvo V70, XC70, XC90</t>
  </si>
  <si>
    <t>CCF0033</t>
  </si>
  <si>
    <t>CCF0033     (Champion)</t>
  </si>
  <si>
    <t>KIA CERATO 04-</t>
  </si>
  <si>
    <t>CCF0035</t>
  </si>
  <si>
    <t>CCF0035     (Champion)</t>
  </si>
  <si>
    <t>85.88</t>
  </si>
  <si>
    <t>RENAULT CLIO, KANGOO (+ A/C),  MEGANE (- A/C)  98-</t>
  </si>
  <si>
    <t>CCF0038C</t>
  </si>
  <si>
    <t>CCF0038C     (Champion)</t>
  </si>
  <si>
    <t>205.27</t>
  </si>
  <si>
    <t>Mits L200 05-, Lancer VII 03-, Outlander 03-07</t>
  </si>
  <si>
    <t>CCF0045</t>
  </si>
  <si>
    <t>CCF0045     (Champion)</t>
  </si>
  <si>
    <t>CITRO?N C4 Aircross, C-Crosser, 02/07 -, MITSUBISHI ASX, Outlander II, III,  PEUGEOT 4007, 4008,  07-</t>
  </si>
  <si>
    <t>CCF0046</t>
  </si>
  <si>
    <t>CCF0046     (Champion)</t>
  </si>
  <si>
    <t>104.22</t>
  </si>
  <si>
    <t>FORD Galaxy 97-00, SEAT Alhambra, VW Sharan</t>
  </si>
  <si>
    <t>CCF0050C</t>
  </si>
  <si>
    <t>CCF0050C     (Champion)</t>
  </si>
  <si>
    <t>164.42</t>
  </si>
  <si>
    <t>SUBARU LEGACY (III, IV)</t>
  </si>
  <si>
    <t>CCF0051</t>
  </si>
  <si>
    <t>CCF0051     (Champion)</t>
  </si>
  <si>
    <t>132.90</t>
  </si>
  <si>
    <t>OUTBACK,OUTBACK,TRIBECA</t>
  </si>
  <si>
    <t>CCF0052</t>
  </si>
  <si>
    <t>CCF0052     (Champion)</t>
  </si>
  <si>
    <t>94.55</t>
  </si>
  <si>
    <t>TOYOTA 4 RUNNER, ALLION (I), AVENSIS</t>
  </si>
  <si>
    <t>CCF0052C</t>
  </si>
  <si>
    <t>CCF0052C     (Champion)</t>
  </si>
  <si>
    <t>VERSO,CAMRY,CELICA,LAND CRUISER 120,LAND CRUISER</t>
  </si>
  <si>
    <t>CCF0060C</t>
  </si>
  <si>
    <t>CCF0060C     (Champion)</t>
  </si>
  <si>
    <t>209.44</t>
  </si>
  <si>
    <t>MEGANE II 02-</t>
  </si>
  <si>
    <t>CCF0061</t>
  </si>
  <si>
    <t>CCF0061     (Champion)</t>
  </si>
  <si>
    <t>212.61</t>
  </si>
  <si>
    <t>RENAULT Grand Scenic II 04-, Scenic II,  03-</t>
  </si>
  <si>
    <t>CCF0065</t>
  </si>
  <si>
    <t>CCF0065     (Champion)</t>
  </si>
  <si>
    <t>DAEWOO Lanos 1.4 -1.5i, Nubira, Lacetti 1.6 16V-2.0</t>
  </si>
  <si>
    <t>CCF0070</t>
  </si>
  <si>
    <t>CCF0070     (Champion)</t>
  </si>
  <si>
    <t>120.73</t>
  </si>
  <si>
    <t>Audi A6 94-97 All /310x194x35/</t>
  </si>
  <si>
    <t>CCF0074</t>
  </si>
  <si>
    <t>CCF0074     (Champion)</t>
  </si>
  <si>
    <t>Audi A6 94-97 All eng</t>
  </si>
  <si>
    <t>CCF0075</t>
  </si>
  <si>
    <t>CCF0075     (Champion)</t>
  </si>
  <si>
    <t>VW TRANSPORTER IV 90 - 03</t>
  </si>
  <si>
    <t>CCF0082</t>
  </si>
  <si>
    <t>CCF0082     (Champion)</t>
  </si>
  <si>
    <t>PEUGEOT 206 1.1-1.6 16V, 206 SW 1.6 HDi 16V</t>
  </si>
  <si>
    <t>CCF0096</t>
  </si>
  <si>
    <t>CCF0096     (Champion)</t>
  </si>
  <si>
    <t>333.17</t>
  </si>
  <si>
    <t>MB VITO 96- 03</t>
  </si>
  <si>
    <t>CCF0099</t>
  </si>
  <si>
    <t>CCF0099     (Champion)</t>
  </si>
  <si>
    <t>216.11</t>
  </si>
  <si>
    <t>Opel Vivaro, Renault Trafic II 2/01-</t>
  </si>
  <si>
    <t>CCF0107</t>
  </si>
  <si>
    <t>CCF0107     (Champion)</t>
  </si>
  <si>
    <t>201.93</t>
  </si>
  <si>
    <t>MB E-Classe (W211, S211) , CLS(C219) ,  02-10</t>
  </si>
  <si>
    <t>CCF0107C</t>
  </si>
  <si>
    <t>CCF0107C     (Champion)</t>
  </si>
  <si>
    <t>302.32</t>
  </si>
  <si>
    <t>MB E-CLASS (W211)  All eng. 02 - 08</t>
  </si>
  <si>
    <t>CCF0109</t>
  </si>
  <si>
    <t>CCF0109     (Champion)</t>
  </si>
  <si>
    <t>102.38</t>
  </si>
  <si>
    <t>FORD Focus III, C-Max, Kuga 08-, Mondeo IV,  03-</t>
  </si>
  <si>
    <t>CCF0112C</t>
  </si>
  <si>
    <t>CCF0112C     (Champion)</t>
  </si>
  <si>
    <t>186.76</t>
  </si>
  <si>
    <t>AUDI A3, Skoda Octavia,  VW Bora, Golf IV 97-  (вугільний)</t>
  </si>
  <si>
    <t>CCF0116</t>
  </si>
  <si>
    <t>CCF0116     (Champion)</t>
  </si>
  <si>
    <t>100.88</t>
  </si>
  <si>
    <t>MAZDA 2, 6, CX-7,  02-</t>
  </si>
  <si>
    <t>CCF0116C</t>
  </si>
  <si>
    <t>CCF0116C     (Champion)</t>
  </si>
  <si>
    <t>MAZDA 6, CX7  02- (вугільний)</t>
  </si>
  <si>
    <t>CCF0119</t>
  </si>
  <si>
    <t>CCF0119     (Champion)</t>
  </si>
  <si>
    <t>114.39</t>
  </si>
  <si>
    <t>GRANDE PUNTO/CORSA D</t>
  </si>
  <si>
    <t>CCF0125</t>
  </si>
  <si>
    <t>CCF0125     (Champion)</t>
  </si>
  <si>
    <t>108.05</t>
  </si>
  <si>
    <t>HONDA CR-V, Accord VIII 2.0-2.4, 03-</t>
  </si>
  <si>
    <t>CCF0131</t>
  </si>
  <si>
    <t>CCF0131     (Champion)</t>
  </si>
  <si>
    <t>NISSAN X-Trail 05/01-</t>
  </si>
  <si>
    <t>CCF0133</t>
  </si>
  <si>
    <t>CCF0133     (Champion)</t>
  </si>
  <si>
    <t>HYUNDAI Santa FE II 06-, SONATA 05-, KIA Magentis 06-</t>
  </si>
  <si>
    <t>CCF0139</t>
  </si>
  <si>
    <t>CCF0139     (Champion)</t>
  </si>
  <si>
    <t>219.61</t>
  </si>
  <si>
    <t>Citroen Nemo, Peugeot Bipper, Fiat Linea</t>
  </si>
  <si>
    <t>CCF0143C</t>
  </si>
  <si>
    <t>CCF0143C     (Champion)</t>
  </si>
  <si>
    <t>371.35</t>
  </si>
  <si>
    <t>LAND ROVER Freelander, 06-, VOLVO S80 II, V70 II, XC60, XC70 06-</t>
  </si>
  <si>
    <t>CCF0144C</t>
  </si>
  <si>
    <t>CCF0144C     (Champion)</t>
  </si>
  <si>
    <t>241.79</t>
  </si>
  <si>
    <t>FIAT Scudo II  07-,Peugeot Expert II</t>
  </si>
  <si>
    <t>CCF0146</t>
  </si>
  <si>
    <t>CCF0146     (Champion)</t>
  </si>
  <si>
    <t>87.04</t>
  </si>
  <si>
    <t>FIAT PUNTO 99-, DOBLO 01-</t>
  </si>
  <si>
    <t>CCF0152</t>
  </si>
  <si>
    <t>CCF0152     (Champion)</t>
  </si>
  <si>
    <t>118.56</t>
  </si>
  <si>
    <t>Ford B-MAX, Fiesta VI 08-</t>
  </si>
  <si>
    <t>CCF0153</t>
  </si>
  <si>
    <t>CCF0153     (Champion)</t>
  </si>
  <si>
    <t>188.93</t>
  </si>
  <si>
    <t>Renault Koleos 08 -</t>
  </si>
  <si>
    <t>CCF0157</t>
  </si>
  <si>
    <t>CCF0157     (Champion)</t>
  </si>
  <si>
    <t>196.77</t>
  </si>
  <si>
    <t>MB E-CLASS II (W210) 95 - 03, S-CLASS (W220) 98 - 05</t>
  </si>
  <si>
    <t>CCF0159</t>
  </si>
  <si>
    <t>CCF0159     (Champion)</t>
  </si>
  <si>
    <t>145.07</t>
  </si>
  <si>
    <t>Citroen Jumper III| Fiat Ducato| Peugeot Boxer III 7/06-</t>
  </si>
  <si>
    <t>CCF0161</t>
  </si>
  <si>
    <t>CCF0161     (Champion)</t>
  </si>
  <si>
    <t>Suzuki Grand Vitara  05-</t>
  </si>
  <si>
    <t>CCF0162C</t>
  </si>
  <si>
    <t>CCF0162C     (Champion)</t>
  </si>
  <si>
    <t>394.86</t>
  </si>
  <si>
    <t>BMW X5 (E53)  3.0-4.8  05/00 -, RANGE ROVER III 3.0-5.0   02 -12</t>
  </si>
  <si>
    <t>CCF0166</t>
  </si>
  <si>
    <t>CCF0166     (Champion)</t>
  </si>
  <si>
    <t>280.97</t>
  </si>
  <si>
    <t>BMW X5 (E70) (ОЕ 64316945586, 64116945594)</t>
  </si>
  <si>
    <t>CCF0168</t>
  </si>
  <si>
    <t>CCF0168     (Champion)</t>
  </si>
  <si>
    <t>176.59</t>
  </si>
  <si>
    <t>MB C-CLASS (S203)  All eng. 01 - 07</t>
  </si>
  <si>
    <t>CCF0177</t>
  </si>
  <si>
    <t>CCF0177     (Champion)</t>
  </si>
  <si>
    <t>231.78</t>
  </si>
  <si>
    <t>SUBARU FORESTER II, IMPREZA III  08-</t>
  </si>
  <si>
    <t>CCF0179</t>
  </si>
  <si>
    <t>CCF0179     (Champion)</t>
  </si>
  <si>
    <t>FORD Mondeo I, II,  93-01</t>
  </si>
  <si>
    <t>CCF0180</t>
  </si>
  <si>
    <t>CCF0180     (Champion)</t>
  </si>
  <si>
    <t>157.75</t>
  </si>
  <si>
    <t>SPRINTER/CRAFTER 06-</t>
  </si>
  <si>
    <t>CCF0186</t>
  </si>
  <si>
    <t>CCF0186     (Champion)</t>
  </si>
  <si>
    <t>Hyundai Accent III, i30  05-10 , KIA Ceed, Carens 1.4 -2.0 12-</t>
  </si>
  <si>
    <t>CCF0201</t>
  </si>
  <si>
    <t>CCF0201     (Champion)</t>
  </si>
  <si>
    <t>222.11</t>
  </si>
  <si>
    <t>MB E, C-Class (W202, W210) -02</t>
  </si>
  <si>
    <t>CCF0208</t>
  </si>
  <si>
    <t>CCF0208     (Champion)</t>
  </si>
  <si>
    <t>107.72</t>
  </si>
  <si>
    <t>Opel OMEGA B 96- 00</t>
  </si>
  <si>
    <t>CCF0209</t>
  </si>
  <si>
    <t>CCF0209     (Champion)</t>
  </si>
  <si>
    <t>AUDI A4 95-00, VW PASSAT B5  96-00</t>
  </si>
  <si>
    <t>CCF0209C</t>
  </si>
  <si>
    <t>CCF0209C     (Champion)</t>
  </si>
  <si>
    <t>AUDI A4 95-00, VW PASSAT 96-00 (вугільний)</t>
  </si>
  <si>
    <t>CCF0227</t>
  </si>
  <si>
    <t>CCF0227     (Champion)</t>
  </si>
  <si>
    <t>100.55</t>
  </si>
  <si>
    <t>OPEL Agila , SUZUKI  Wagon R 1.0-1.3  09/00 - 12/07</t>
  </si>
  <si>
    <t>CCF0227C</t>
  </si>
  <si>
    <t>CCF0227C     (Champion)</t>
  </si>
  <si>
    <t>193.93</t>
  </si>
  <si>
    <t>Citroen C2, C3,C4,  Pegeout 307,308, 03-</t>
  </si>
  <si>
    <t>CCF0282</t>
  </si>
  <si>
    <t>CCF0282     (Champion)</t>
  </si>
  <si>
    <t>125.73</t>
  </si>
  <si>
    <t>MB Sprinter 2xx, 3xx, 4xx Cdi,  -06, VW LT 28-46 II TDI  - 06</t>
  </si>
  <si>
    <t>CCF0282C</t>
  </si>
  <si>
    <t>CCF0282C     (Champion)</t>
  </si>
  <si>
    <t>216.44</t>
  </si>
  <si>
    <t>Sprinter 2t,3t,4t  95-06, LT 28-46 II, 96-06</t>
  </si>
  <si>
    <t>CCF0303</t>
  </si>
  <si>
    <t>CCF0303     (Champion)</t>
  </si>
  <si>
    <t>124.06</t>
  </si>
  <si>
    <t>AUDI A3 (8P) 1.6 FSI -2.0i,  Q3 (8U) 2.0 TDI, TT (8J) 2.0 T FSI-3.2V6</t>
  </si>
  <si>
    <t>CCF0303C</t>
  </si>
  <si>
    <t>CCF0303C     (Champion)</t>
  </si>
  <si>
    <t>VAG A3/ Golf 5/ Jetta III/ Polo</t>
  </si>
  <si>
    <t>CCF0310</t>
  </si>
  <si>
    <t>CCF0310     (Champion)</t>
  </si>
  <si>
    <t>175.75</t>
  </si>
  <si>
    <t>MICRA/NOTE/MODUS,  Clio III  03-</t>
  </si>
  <si>
    <t>CCF0320</t>
  </si>
  <si>
    <t>CCF0320     (Champion)</t>
  </si>
  <si>
    <t>G-CLASS (W463), AUDI A2, SEAT Cordoba 02-09,  Ibiza V 08-10, Fabia 02-08, POLO 02-</t>
  </si>
  <si>
    <t>CCF0320C</t>
  </si>
  <si>
    <t>CCF0320C     (Champion)</t>
  </si>
  <si>
    <t>AUDI A2 1.2-1.6TDI 00-05, MERCEDES W463 2.7-5.0CDI 94-, SEAT Cordoba 1.2-2.0TDI , 02-  Ibiza IV 1.2-1.9 02-  Fabia 1.2-2.0TDI  12/99-</t>
  </si>
  <si>
    <t>CCF0327</t>
  </si>
  <si>
    <t>CCF0327     (Champion)</t>
  </si>
  <si>
    <t>FORD Mondeo III , Jaguar X-Type 01-09</t>
  </si>
  <si>
    <t>CCF0328</t>
  </si>
  <si>
    <t>CCF0328     (Champion)</t>
  </si>
  <si>
    <t>108.55</t>
  </si>
  <si>
    <t>FIESTA/FUSION 02-</t>
  </si>
  <si>
    <t>CCF0328C</t>
  </si>
  <si>
    <t>CCF0328C     (Champion)</t>
  </si>
  <si>
    <t>227.45</t>
  </si>
  <si>
    <t>FIESTA/FUSION 02- (вугільний)</t>
  </si>
  <si>
    <t>CCF0351</t>
  </si>
  <si>
    <t>CCF0351     (Champion)</t>
  </si>
  <si>
    <t>MB Viano, VITO II, VIANO 03 -</t>
  </si>
  <si>
    <t>CFF100104</t>
  </si>
  <si>
    <t>CFF100104     (Champion)</t>
  </si>
  <si>
    <t>19.34</t>
  </si>
  <si>
    <t>104x36mm (8mm)  MB W201 (2.0D, 2.5D/TD) -93 (грубой очистки)</t>
  </si>
  <si>
    <t>CFF100105</t>
  </si>
  <si>
    <t>CFF100105     (Champion)</t>
  </si>
  <si>
    <t>MB C,E, G-Class, T1, 2.0-3.0TD   - 93,  SSANG Y KORRANDO, Musso 2.3-2.9D 96-</t>
  </si>
  <si>
    <t>CFF100111</t>
  </si>
  <si>
    <t>CFF100111     (Champion)</t>
  </si>
  <si>
    <t>Fiat, Lancia, Iveco Land Rover, RENAULT, Opel 1.5-2.5D 90-2000</t>
  </si>
  <si>
    <t>CFF100114</t>
  </si>
  <si>
    <t>CFF100114     (Champion)</t>
  </si>
  <si>
    <t>VW GOLF III, IV 1.6-1.9td -02, LT 28-35  2.4d 75 - 96 SEAT Alhambra, Cordoba 95-00</t>
  </si>
  <si>
    <t>CFF100116</t>
  </si>
  <si>
    <t>CFF100116     (Champion)</t>
  </si>
  <si>
    <t>MB (S124, W201, W202, W124) 2.0-3.0 D/TD 85-00, Ssang Yong 2.9TD</t>
  </si>
  <si>
    <t>CFF100131</t>
  </si>
  <si>
    <t>CFF100131     (Champion)</t>
  </si>
  <si>
    <t>56.36</t>
  </si>
  <si>
    <t>FIAT DUCATO 2.5TD -94, CITROEN/PEUGEOT J5,J7, J9  1.9 - 2.5D/TD 94-</t>
  </si>
  <si>
    <t>CFF100133</t>
  </si>
  <si>
    <t>CFF100133     (Champion)</t>
  </si>
  <si>
    <t>75.54</t>
  </si>
  <si>
    <t>MB W123 , 207D/209D,307D/309D,407D (OM616, OM617)</t>
  </si>
  <si>
    <t>CFF100134</t>
  </si>
  <si>
    <t>CFF100134     (Champion)</t>
  </si>
  <si>
    <t>FORD Mondeo II, Escort V, VI, VII, Orion 1.6-1.8 D,  LT28-45 2.4 D/TD -93, Transporter III, -92</t>
  </si>
  <si>
    <t>CFF100141</t>
  </si>
  <si>
    <t>CFF100141     (Champion)</t>
  </si>
  <si>
    <t>65.20</t>
  </si>
  <si>
    <t>CITRO?N  Berlingo I ,BX , Jumpy, PEUGEOT 205, 306, 309, 405  1.7-1.9D</t>
  </si>
  <si>
    <t>CFF100142</t>
  </si>
  <si>
    <t>CFF100142     (Champion)</t>
  </si>
  <si>
    <t>226.28</t>
  </si>
  <si>
    <t>FORD ESCORT, FIESTA  1.8D/TD 93-99 (BOSCH-SYSTEM)</t>
  </si>
  <si>
    <t>CFF100146</t>
  </si>
  <si>
    <t>CFF100146     (Champion)</t>
  </si>
  <si>
    <t>164.92</t>
  </si>
  <si>
    <t>ISUZU TROOPER 2.8TD 88-92, 3.1TD 91-</t>
  </si>
  <si>
    <t>CFF100149</t>
  </si>
  <si>
    <t>CFF100149     (Champion)</t>
  </si>
  <si>
    <t>TOYOTA HIACE, HILUX 2.4D 89-, COROLLA 1.8D, 2.0D 87-</t>
  </si>
  <si>
    <t>CFF100201</t>
  </si>
  <si>
    <t>CFF100201     (Champion)</t>
  </si>
  <si>
    <t>CITROEN CX, BX Xantia 87-98 , FIAT, OPEL Kadett 75-91 , Omega A , Peugeot 106, 306 , 309</t>
  </si>
  <si>
    <t>CFF100204</t>
  </si>
  <si>
    <t>CFF100204     (Champion)</t>
  </si>
  <si>
    <t>161.58</t>
  </si>
  <si>
    <t>FORD SIERRA 1.8, 2.0 -93, SCORPIO 2.0-2.9 -94, ESCORT,FIESTA 1.4, 1.6 -95</t>
  </si>
  <si>
    <t>CFF100206</t>
  </si>
  <si>
    <t>CFF100206     (Champion)</t>
  </si>
  <si>
    <t>137.90</t>
  </si>
  <si>
    <t>Alfa, Audi A4, A6, BMW 3, 5, 7, MB,  Renault  -98</t>
  </si>
  <si>
    <t>CFF100209</t>
  </si>
  <si>
    <t>CFF100209     (Champion)</t>
  </si>
  <si>
    <t>225.45</t>
  </si>
  <si>
    <t>FORD TRANSIT 2.5D/TD  84 -00</t>
  </si>
  <si>
    <t>CFF100218</t>
  </si>
  <si>
    <t>CFF100218     (Champion)</t>
  </si>
  <si>
    <t>FORD 1.3 - 2.9  бензин 90-</t>
  </si>
  <si>
    <t>CFF100225</t>
  </si>
  <si>
    <t>CFF100225     (Champion)</t>
  </si>
  <si>
    <t>OPEL Astra G 1.2-2.0, 00-05, Astra H 06-, OMEGA B 2.0-3.2 -03, VECTRA B, SAAB, Seat Ibiza II-IV -09, VW Polo -</t>
  </si>
  <si>
    <t>CFF100236</t>
  </si>
  <si>
    <t>CFF100236     (Champion)</t>
  </si>
  <si>
    <t>97.22</t>
  </si>
  <si>
    <t>CITROEN/PEUGEOT 1.3-2.0, OPEL 1.2-3.0 -98, Tavria/Slavuta 1.2i, 1.3i</t>
  </si>
  <si>
    <t>CFF100237</t>
  </si>
  <si>
    <t>CFF100237     (Champion)</t>
  </si>
  <si>
    <t>VW/AUDI 1.6 - 3.0  97- 10</t>
  </si>
  <si>
    <t>CFF100249</t>
  </si>
  <si>
    <t>CFF100249     (Champion)</t>
  </si>
  <si>
    <t>183.76</t>
  </si>
  <si>
    <t>Ford Transit 2.5DI 94-00, LDV Convoy 2.5DI 98-09</t>
  </si>
  <si>
    <t>CFF100250</t>
  </si>
  <si>
    <t>CFF100250     (Champion)</t>
  </si>
  <si>
    <t>128.73</t>
  </si>
  <si>
    <t>CITROEN JUMPY, BERLINGO, PEUGEOT PARTNER 1.9D 98-</t>
  </si>
  <si>
    <t>CFF100251</t>
  </si>
  <si>
    <t>CFF100251     (Champion)</t>
  </si>
  <si>
    <t>149.07</t>
  </si>
  <si>
    <t>CITROEN JUMPY,BERLINGO, PEUGEOT PARTNER 2.0HDI  99-</t>
  </si>
  <si>
    <t>CFF100252</t>
  </si>
  <si>
    <t>CFF100252     (Champion)</t>
  </si>
  <si>
    <t>55.53</t>
  </si>
  <si>
    <t>RENAULT Clio II, Laguna I, Megane , DACIA Solenza 1.9dTi  02/03 -</t>
  </si>
  <si>
    <t>CFF100256</t>
  </si>
  <si>
    <t>CFF100256     (Champion)</t>
  </si>
  <si>
    <t>FORD FOCUS 1.8TD/DI 98-04, FIESTA 1.8 DI 00-, Transit Connect 1.8 DI 02-</t>
  </si>
  <si>
    <t>CFF100257</t>
  </si>
  <si>
    <t>CFF100257     (Champion)</t>
  </si>
  <si>
    <t>221.61</t>
  </si>
  <si>
    <t>MB VITO , SPRINTER CDI - engines (OM611 DELA/DE22LA) 98-06</t>
  </si>
  <si>
    <t>CFF100260</t>
  </si>
  <si>
    <t>CFF100260     (Champion)</t>
  </si>
  <si>
    <t>484.58</t>
  </si>
  <si>
    <t>VW/AUDI 2.5TDI 97-</t>
  </si>
  <si>
    <t>CFF100276</t>
  </si>
  <si>
    <t>CFF100276     (Champion)</t>
  </si>
  <si>
    <t>291.48</t>
  </si>
  <si>
    <t>SKODA FABIA 1.4, 1.4 16V 00-, VW POLO, SEAT IBIZA 1.2, 1.4 16V 01-</t>
  </si>
  <si>
    <t>CFF100401</t>
  </si>
  <si>
    <t>CFF100401     (Champion)</t>
  </si>
  <si>
    <t>167.42</t>
  </si>
  <si>
    <t>CITRO?N C4, C5, C8, PEUGEOT 307,407, FORD Focus II 2.0 DI/HDI/TDCi   03 -</t>
  </si>
  <si>
    <t>CFF100402</t>
  </si>
  <si>
    <t>CFF100402     (Champion)</t>
  </si>
  <si>
    <t>CITROEN/PEUGEOT/FIAT 2.0 HDI, 2.2 DI,  01-</t>
  </si>
  <si>
    <t>CFF100403</t>
  </si>
  <si>
    <t>CFF100403     (Champion)</t>
  </si>
  <si>
    <t>240.12</t>
  </si>
  <si>
    <t>BOXER/DUCATO 1.9-2.8 JTD, 00-</t>
  </si>
  <si>
    <t>CFF100408</t>
  </si>
  <si>
    <t>CFF100408     (Champion)</t>
  </si>
  <si>
    <t>ALFA 147,156, 166  1.9JTD 00-07, FIAT STILO 1.9 jTD 03-08</t>
  </si>
  <si>
    <t>CFF100409</t>
  </si>
  <si>
    <t>CFF100409     (Champion)</t>
  </si>
  <si>
    <t>181.26</t>
  </si>
  <si>
    <t>Citroen Jamper 2.2-2.8 Hdi 02- /Fiat Ducato 2.0-2.3 D/JTD,  OPEL Astra H, Vectra C, Meriva 1.3-1.9CDTI  04-</t>
  </si>
  <si>
    <t>CFF100413</t>
  </si>
  <si>
    <t>CFF100413     (Champion)</t>
  </si>
  <si>
    <t>RENAULT Kangoo , Laguna, Megane I Scenic 1.9D ,  95 -03</t>
  </si>
  <si>
    <t>CFF100415</t>
  </si>
  <si>
    <t>CFF100415     (Champion)</t>
  </si>
  <si>
    <t>90.88</t>
  </si>
  <si>
    <t>Movano / Trafic / Interstar  1.9-2.5CDTI  01-</t>
  </si>
  <si>
    <t>CFF100416</t>
  </si>
  <si>
    <t>CFF100416     (Champion)</t>
  </si>
  <si>
    <t>NISSAN Primastar 2.5 DCI 03- OPEL Movano 1.9/3.0/DTI 01- Vivaro 2.5 /DTI/CDTI 03-, RENAULT Master II  00-, III 2.5-3.0 DCI 03- Trafic II 2.5 DCI 01-</t>
  </si>
  <si>
    <t>CFF100423</t>
  </si>
  <si>
    <t>CFF100423     (Champion)</t>
  </si>
  <si>
    <t>400.87</t>
  </si>
  <si>
    <t>A3/G5/TOURAN TDI/SDI (KX 178 D)</t>
  </si>
  <si>
    <t>CFF100427</t>
  </si>
  <si>
    <t>CFF100427     (Champion)</t>
  </si>
  <si>
    <t>160.58</t>
  </si>
  <si>
    <t>BMW 3 (E36), 5(E39), 7(E38) td,tds  93-99</t>
  </si>
  <si>
    <t>CFF100440</t>
  </si>
  <si>
    <t>CFF100440     (Champion)</t>
  </si>
  <si>
    <t>247.29</t>
  </si>
  <si>
    <t>MB C,E- Class, Vito, Sprinter CDI  01-</t>
  </si>
  <si>
    <t>CFF100445</t>
  </si>
  <si>
    <t>CFF100445     (Champion)</t>
  </si>
  <si>
    <t>304.15</t>
  </si>
  <si>
    <t>FORD Transit 2.2TDCI 00-</t>
  </si>
  <si>
    <t>CFF100446</t>
  </si>
  <si>
    <t>CFF100446     (Champion)</t>
  </si>
  <si>
    <t>339.84</t>
  </si>
  <si>
    <t>TRANSIT 2.4DI TDE 01-06</t>
  </si>
  <si>
    <t>CFF100452</t>
  </si>
  <si>
    <t>CFF100452     (Champion)</t>
  </si>
  <si>
    <t>186.59</t>
  </si>
  <si>
    <t>MAZDA 6  2.0DI -07, 626 (GF) 2.0D 98-02, TOYOTA  Yaris, Avensis, Corolla, RAV 4 III 1.4 - 2.2 D-4D  97-</t>
  </si>
  <si>
    <t>CFF100453</t>
  </si>
  <si>
    <t>CFF100453     (Champion)</t>
  </si>
  <si>
    <t>295.31</t>
  </si>
  <si>
    <t>FORD / JAGUAR 1.8-2.2D, 01-, HYUNDAI 2.5, 2.9 CRDI 01-06 SSANG Y 2.0-2.7 Xdi 05-</t>
  </si>
  <si>
    <t>CFF100454</t>
  </si>
  <si>
    <t>CFF100454     (Champion)</t>
  </si>
  <si>
    <t>368.02</t>
  </si>
  <si>
    <t>FORD Focus II/C-Max 1.6 TDCi 03-, PEUGEOT 206/307/407   04-, CITROEN C4/C5 04-, MAZDA 3</t>
  </si>
  <si>
    <t>CFF100456</t>
  </si>
  <si>
    <t>CFF100456     (Champion)</t>
  </si>
  <si>
    <t>238.95</t>
  </si>
  <si>
    <t>IBIZA IV/ FABIA / Roomster / POLO  1.4-1.9TDI, 05-</t>
  </si>
  <si>
    <t>CFF100458</t>
  </si>
  <si>
    <t>CFF100458     (Champion)</t>
  </si>
  <si>
    <t>211.27</t>
  </si>
  <si>
    <t>FORD Galaxy 1.9 TDI 95-,  SEAT Alhambra 1.9/2.0/TDI 96- ,VW Sharan 1.9/2.0/TDI 95-</t>
  </si>
  <si>
    <t>CFF100460</t>
  </si>
  <si>
    <t>CFF100460     (Champion)</t>
  </si>
  <si>
    <t>737.20</t>
  </si>
  <si>
    <t>VW TRANSPORTER V  1.9- 2.5TDI,  03-09</t>
  </si>
  <si>
    <t>CFF100462</t>
  </si>
  <si>
    <t>CFF100462     (Champion)</t>
  </si>
  <si>
    <t>67.37</t>
  </si>
  <si>
    <t>Interstar, Movano, PRIMASTAR, Master, Trafic II 1.9-2/5TDI,  01-</t>
  </si>
  <si>
    <t>CFF100467</t>
  </si>
  <si>
    <t>CFF100467     (Champion)</t>
  </si>
  <si>
    <t>271.30</t>
  </si>
  <si>
    <t>FIAT Doblo/Palio/Punto/Strada 1.9D,  99-</t>
  </si>
  <si>
    <t>CFF100478</t>
  </si>
  <si>
    <t>CFF100478     (Champion)</t>
  </si>
  <si>
    <t>276.81</t>
  </si>
  <si>
    <t>VW/AUDI 1.2-2.0 FCI/TFCI,  05-</t>
  </si>
  <si>
    <t>CFF100483</t>
  </si>
  <si>
    <t>CFF100483     (Champion)</t>
  </si>
  <si>
    <t>214.94</t>
  </si>
  <si>
    <t>MERCEDES (W169,W203,S203,CL203,W211,S211,) A 160-E320CDI 4/03-| Vito (W639) 2.2CDI 9/03-</t>
  </si>
  <si>
    <t>CFF100488</t>
  </si>
  <si>
    <t>CFF100488     (Champion)</t>
  </si>
  <si>
    <t>258.63</t>
  </si>
  <si>
    <t>Audi, Skoda, VW 1.2i-1.6i  05-</t>
  </si>
  <si>
    <t>CFF100489</t>
  </si>
  <si>
    <t>CFF100489     (Champion)</t>
  </si>
  <si>
    <t>BOGDAN (Isuzu eng.) EURO II/III,  TOYOTA LANDCRUISER 4.0TD  80-89</t>
  </si>
  <si>
    <t>CFF100500</t>
  </si>
  <si>
    <t>CFF100500     (Champion)</t>
  </si>
  <si>
    <t>281.81</t>
  </si>
  <si>
    <t>Nissan Almera, Micra III, Note 1.5DCI, Renault Kangoo Clio II, Megane II 1.5Dci  02-</t>
  </si>
  <si>
    <t>CFF100502</t>
  </si>
  <si>
    <t>CFF100502     (Champion)</t>
  </si>
  <si>
    <t>307.82</t>
  </si>
  <si>
    <t>Alfa 159, Mito 1.3-2.0 JTDM 07-, FIAT Doblo, Ducato, Punto 1.3-1.9JTD 09-</t>
  </si>
  <si>
    <t>CFF100523</t>
  </si>
  <si>
    <t>CFF100523     (Champion)</t>
  </si>
  <si>
    <t>AUDI A3, TT,  VW  Caddy III, Touran, Passat, Skoda  1.6-2.0TDI,  04-</t>
  </si>
  <si>
    <t>CFF100564</t>
  </si>
  <si>
    <t>CFF100564     (Champion)</t>
  </si>
  <si>
    <t>345.01</t>
  </si>
  <si>
    <t>OPEL Astra J, Insignia 1.3-2.0CDTI, 09- ,  SAAB 9-3, 9-5 1.9TTiD, 07-</t>
  </si>
  <si>
    <t>CFF100567</t>
  </si>
  <si>
    <t>CFF100567     (Champion)</t>
  </si>
  <si>
    <t>432.38</t>
  </si>
  <si>
    <t>Mercedes C (W204), E (W212),A(W168), M (W164), Sprinter II, VIANO 08-</t>
  </si>
  <si>
    <t>CFF100588</t>
  </si>
  <si>
    <t>CFF100588     (Champion)</t>
  </si>
  <si>
    <t>531.10</t>
  </si>
  <si>
    <t>RENAULT Espace III, Laguna II, Megane I 1.9 dCi 99-01</t>
  </si>
  <si>
    <t>CFF100590</t>
  </si>
  <si>
    <t>CFF100590     (Champion)</t>
  </si>
  <si>
    <t>403.70</t>
  </si>
  <si>
    <t>TRANSIT 06- 2.4 TDCI</t>
  </si>
  <si>
    <t>CFF100600</t>
  </si>
  <si>
    <t>CFF100600     (Champion)</t>
  </si>
  <si>
    <t>463.73</t>
  </si>
  <si>
    <t>Renault Fluence, Megane III, Scenic IV 1.5- 2.0dCi, 09-</t>
  </si>
  <si>
    <t>CFF100603</t>
  </si>
  <si>
    <t>CFF100603     (Champion)</t>
  </si>
  <si>
    <t>570.79</t>
  </si>
  <si>
    <t>AUDI A6 2.7/3.0TDI quattro 5/04-</t>
  </si>
  <si>
    <t>CFF101563</t>
  </si>
  <si>
    <t>CFF101563     (Champion)</t>
  </si>
  <si>
    <t>562.28</t>
  </si>
  <si>
    <t>Audi Q7 3.0TDI, 4.2TDI| Porsche Cayenne 3.0TDI| Volkswagen Touareg 3.0TDI</t>
  </si>
  <si>
    <t>CFF101566</t>
  </si>
  <si>
    <t>CFF101566     (Champion)</t>
  </si>
  <si>
    <t>299.48</t>
  </si>
  <si>
    <t>MB VITO 108CDI-112CDI 99-, SPRINTER CDI (OM611 DELA/DE22LA) 00- (з датчиком)</t>
  </si>
  <si>
    <t>COF100101S</t>
  </si>
  <si>
    <t>COF100101S     (Champion)</t>
  </si>
  <si>
    <t>47.52</t>
  </si>
  <si>
    <t>ALFA 145, 155, 164,  FIAT Croma, Ducato, Fiorino, Uno 80-96, LANCIA  -96</t>
  </si>
  <si>
    <t>COF100102S</t>
  </si>
  <si>
    <t>COF100102S     (Champion)</t>
  </si>
  <si>
    <t>46.19</t>
  </si>
  <si>
    <t>CHRYSLER 300 C 2.7-5.7 -10, Voyager I,II  90-, DODGE -01,TOYOTA, FORD Capri, Granada, Scorpio, Sierra -98 GAZ Volga 3110 2.3i, 3111 2.5i, GAZel 2.5i (2705, 3221, 3302)</t>
  </si>
  <si>
    <t>COF100103C</t>
  </si>
  <si>
    <t>COF100103C     (Champion)</t>
  </si>
  <si>
    <t>Korando 2.3 TD 99-, Musso 2.9 TD 98- , Actyon 2.0 XdiMB W201 (2.0D, 2.5D/TD) -93, W124 (200D - 300D/TD) -95,</t>
  </si>
  <si>
    <t>COF100103S</t>
  </si>
  <si>
    <t>COF100103S     (Champion)</t>
  </si>
  <si>
    <t>FORD TRANSIT 2.5D/TD/DI 86-00</t>
  </si>
  <si>
    <t>COF100106S</t>
  </si>
  <si>
    <t>COF100106S     (Champion)</t>
  </si>
  <si>
    <t>ALFAROMEO 155,164 (2.0),164 (2.5),164 (3.0 12v),164 FIAT Fiorino, Punto, Regata,Strada,Tempra,Tipo,UNO, PEUGEOT 206,306</t>
  </si>
  <si>
    <t>COF100107S</t>
  </si>
  <si>
    <t>COF100107S     (Champion)</t>
  </si>
  <si>
    <t>63.53</t>
  </si>
  <si>
    <t>Fiat Tipo 1.1-1.6, 89-95, Uno, Bravo 96-01, Marea 1.2-1.4 16V 98-02</t>
  </si>
  <si>
    <t>COF100109S</t>
  </si>
  <si>
    <t>COF100109S     (Champion)</t>
  </si>
  <si>
    <t>61.03</t>
  </si>
  <si>
    <t>NISSAN 1.4-2.0  86- , SUBARU Leon I, II, 79-90</t>
  </si>
  <si>
    <t>COF100110S</t>
  </si>
  <si>
    <t>COF100110S     (Champion)</t>
  </si>
  <si>
    <t>59.36</t>
  </si>
  <si>
    <t>MITSUBISHI GALANT, LANCER, L300  1.8, 2.0 87-</t>
  </si>
  <si>
    <t>COF100112S</t>
  </si>
  <si>
    <t>COF100112S     (Champion)</t>
  </si>
  <si>
    <t>45.86</t>
  </si>
  <si>
    <t>Peugeot 505, 605, J5 -94 FIAT Ducato 1.9D -94, Citroen Jamper 2.5TD</t>
  </si>
  <si>
    <t>COF100113S</t>
  </si>
  <si>
    <t>COF100113S     (Champion)</t>
  </si>
  <si>
    <t>79.37</t>
  </si>
  <si>
    <t>MB A190 (W201) Coupe IV (C124),  E (W124, S124) S III (W126),SL III (R107) SL IV (R129)\n</t>
  </si>
  <si>
    <t>COF100114C</t>
  </si>
  <si>
    <t>COF100114C     (Champion)</t>
  </si>
  <si>
    <t>145.91</t>
  </si>
  <si>
    <t>BMW 324 D/TD 87-93, 524 D/TD  -87</t>
  </si>
  <si>
    <t>COF100115S</t>
  </si>
  <si>
    <t>COF100115S     (Champion)</t>
  </si>
  <si>
    <t>70.20</t>
  </si>
  <si>
    <t>FORD ESCORT,FIESTA,SIERRA,MONDEO 1.8D/TD 88-</t>
  </si>
  <si>
    <t>COF100116S</t>
  </si>
  <si>
    <t>COF100116S     (Champion)</t>
  </si>
  <si>
    <t>KIA Sportage 94-03, Mazda626 III 87-92</t>
  </si>
  <si>
    <t>COF100118S</t>
  </si>
  <si>
    <t>COF100118S     (Champion)</t>
  </si>
  <si>
    <t>CITROEN AX, CX, Berlingo 1.1-2.0 96-, BX  -94, C5 I,II 1.8i-3.0, 2.0- 2.2 Hdi,  01-, FIAT, PEUGEOT 306, 307, 309, 405, 406</t>
  </si>
  <si>
    <t>COF100119S</t>
  </si>
  <si>
    <t>COF100119S     (Champion)</t>
  </si>
  <si>
    <t>HYUNDAI, KIA, MITSUBISHI, NISSAN</t>
  </si>
  <si>
    <t>COF100122S</t>
  </si>
  <si>
    <t>COF100122S     (Champion)</t>
  </si>
  <si>
    <t>Opel Vectra A 1.7 D,  90-95, Astra F, Corsa A, B 87-93</t>
  </si>
  <si>
    <t>COF100126S</t>
  </si>
  <si>
    <t>COF100126S     (Champion)</t>
  </si>
  <si>
    <t>AUDI A2 00-05, SEAT ALTEA, Cordoba (02-09),IBIZA, INCA, Leon (98-12),Toledo SKODA Fabia,Felicia, Octavia, Roomster</t>
  </si>
  <si>
    <t>COF100128S</t>
  </si>
  <si>
    <t>COF100128S     (Champion)</t>
  </si>
  <si>
    <t>66.03</t>
  </si>
  <si>
    <t>FIAT 500, MITO, Punto 1.4, 06- , Bravo I,II Doblo 1.2-1.4  01- HONDA Civic, Jazz III 1.2-1.4 08- MAZDA, MITSUBISHI 97-</t>
  </si>
  <si>
    <t>COF100131E</t>
  </si>
  <si>
    <t>COF100131E     (Champion)</t>
  </si>
  <si>
    <t>71.70</t>
  </si>
  <si>
    <t>CITROEN С2, С3, Berlingo, PEUGEOT 206, 306, 307 Partner 1.1i, 1.4i, 1.6i 93-00, 02-</t>
  </si>
  <si>
    <t>COF100136S</t>
  </si>
  <si>
    <t>COF100136S     (Champion)</t>
  </si>
  <si>
    <t>64.37</t>
  </si>
  <si>
    <t>Kia Rio III 1.2 16V, HYUNDAI Atos, i20 1.2, RENAULT Koleos 2.5 16V,Laguna III 2.0 16V-3,5V6, NISSAN Teana 2.5 ,Maxima 2.0i V6 24V, Qashqai 1.6</t>
  </si>
  <si>
    <t>COF100137S</t>
  </si>
  <si>
    <t>COF100137S     (Champion)</t>
  </si>
  <si>
    <t>VW LT28-45,  2.4TD  78-96, T4 2.4TD  90-, VOLVO 740-960 2.4D, -96</t>
  </si>
  <si>
    <t>COF100138S</t>
  </si>
  <si>
    <t>COF100138S     (Champion)</t>
  </si>
  <si>
    <t>60.20</t>
  </si>
  <si>
    <t>TOYOTA Avensis 97-03, CAMRY 86-97, Corolla 85-07, RAV 4 (I-III) 97-, SUZUKI Vitara I,II, SX4</t>
  </si>
  <si>
    <t>COF100141S</t>
  </si>
  <si>
    <t>COF100141S     (Champion)</t>
  </si>
  <si>
    <t>NISSAN MICRA 1.0i, 1.3i, 92-, PRIMERA, SUNNY 2.0i -95</t>
  </si>
  <si>
    <t>COF100148S</t>
  </si>
  <si>
    <t>COF100148S     (Champion)</t>
  </si>
  <si>
    <t>59.70</t>
  </si>
  <si>
    <t>FORD ESCORT,FIESTA,FOCUS,MONDEO 1.6, 1.8 92-00</t>
  </si>
  <si>
    <t>COF100150S</t>
  </si>
  <si>
    <t>COF100150S     (Champion)</t>
  </si>
  <si>
    <t>82.87</t>
  </si>
  <si>
    <t>Alfa 33,145, 146, Fiat Panda, Tipo, Croma , Seat  -96</t>
  </si>
  <si>
    <t>COF100151S</t>
  </si>
  <si>
    <t>COF100151S     (Champion)</t>
  </si>
  <si>
    <t>FORD ESCORT,FIESTA,ORION 1.6D -90</t>
  </si>
  <si>
    <t>COF100152S</t>
  </si>
  <si>
    <t>COF100152S     (Champion)</t>
  </si>
  <si>
    <t>106.39</t>
  </si>
  <si>
    <t>AUDI 100, A6 2.0-2.5TD 82-97</t>
  </si>
  <si>
    <t>COF100160S</t>
  </si>
  <si>
    <t>COF100160S     (Champion)</t>
  </si>
  <si>
    <t>56.70</t>
  </si>
  <si>
    <t>BMW 316,318,320,520,525 (M10,M20 eng.) -91 (W719/5)</t>
  </si>
  <si>
    <t>COF100165S</t>
  </si>
  <si>
    <t>COF100165S     (Champion)</t>
  </si>
  <si>
    <t>44.19</t>
  </si>
  <si>
    <t>Lexus , TOYOTA   Auris 07 -, Yaris 06 -, SUZUKI -98, SAAB, Skoda, Renault</t>
  </si>
  <si>
    <t>COF100168S</t>
  </si>
  <si>
    <t>COF100168S     (Champion)</t>
  </si>
  <si>
    <t>79.54</t>
  </si>
  <si>
    <t>COF100180S</t>
  </si>
  <si>
    <t>COF100180S     (Champion)</t>
  </si>
  <si>
    <t>SUZUKI Swift, Baleno, Alto 1.0-1.6 86- Wagon R+,  98-00, DAIHATSU Charade</t>
  </si>
  <si>
    <t>COF100182S</t>
  </si>
  <si>
    <t>COF100182S     (Champion)</t>
  </si>
  <si>
    <t>73.20</t>
  </si>
  <si>
    <t>FORD Focus, C-Max, Mondeo III 1.8-2.0  &amp; Mazda 3, 6-Serie Volvo S40 II, V50, 04-</t>
  </si>
  <si>
    <t>COF100183S</t>
  </si>
  <si>
    <t>COF100183S     (Champion)</t>
  </si>
  <si>
    <t>83.71</t>
  </si>
  <si>
    <t>Audi 100, 80, A6 1.8-2.8  92-05</t>
  </si>
  <si>
    <t>COF100208S</t>
  </si>
  <si>
    <t>COF100208S     (Champion)</t>
  </si>
  <si>
    <t>55.03</t>
  </si>
  <si>
    <t>HONDA FR-V, Civic IV- VII, Accord III, IV, V 1.5-2.0 бензин -03, ROVER 200, 400, 600  -99</t>
  </si>
  <si>
    <t>COF100209S</t>
  </si>
  <si>
    <t>COF100209S     (Champion)</t>
  </si>
  <si>
    <t>Nissan Patrol 2.8-4.2 88-98, NAVARA 2.4i  92-97,  SUNNYII, III 1.7-2.0D  90 -95</t>
  </si>
  <si>
    <t>COF100270S</t>
  </si>
  <si>
    <t>COF100270S     (Champion)</t>
  </si>
  <si>
    <t>156.41</t>
  </si>
  <si>
    <t>CITRO?N Jamper I-II 2.8HDi 94- RENAULT Master 2.5TD 88-98, TRAFIC 2.5D 89-01</t>
  </si>
  <si>
    <t>COF100504E</t>
  </si>
  <si>
    <t>COF100504E     (Champion)</t>
  </si>
  <si>
    <t>BMW 320i-328i, 520i-530i 95-</t>
  </si>
  <si>
    <t>COF100505E</t>
  </si>
  <si>
    <t>COF100505E     (Champion)</t>
  </si>
  <si>
    <t>69.37</t>
  </si>
  <si>
    <t>VW/AUDI 1.9TDI 96-</t>
  </si>
  <si>
    <t>COF100506E</t>
  </si>
  <si>
    <t>COF100506E     (Champion)</t>
  </si>
  <si>
    <t>MB W202 (C180-C280) -00, SPRINTER,VITO, SSANG Y KYRON, Action, Korando 2.0-2.7 XDI 04-</t>
  </si>
  <si>
    <t>COF100507E</t>
  </si>
  <si>
    <t>COF100507E     (Champion)</t>
  </si>
  <si>
    <t>79.87</t>
  </si>
  <si>
    <t>OPEL ASTRA 2.0-2.2DTI 98-05, OMEGA B 2.0DTI 97-00, 2.2DTI 00-, Vectra B 2.0-2.2DTI 96-02</t>
  </si>
  <si>
    <t>COF100509E</t>
  </si>
  <si>
    <t>COF100509E     (Champion)</t>
  </si>
  <si>
    <t>MB W202/W203 (C240-C320) 97-, W210/W211 (E240-E430) 96-, W220 (S280-S600) 98-</t>
  </si>
  <si>
    <t>COF100510E</t>
  </si>
  <si>
    <t>COF100510E     (Champion)</t>
  </si>
  <si>
    <t>85.38</t>
  </si>
  <si>
    <t>MB A140, A160, A190, A210  97-, VANEO 1.6, 1.9  02-</t>
  </si>
  <si>
    <t>COF100511E</t>
  </si>
  <si>
    <t>COF100511E     (Champion)</t>
  </si>
  <si>
    <t>88.38</t>
  </si>
  <si>
    <t>VOLVO S40, S60, S70, S80, V40, V70 1.6-2.9 бензин 97-</t>
  </si>
  <si>
    <t>COF100513E</t>
  </si>
  <si>
    <t>COF100513E     (Champion)</t>
  </si>
  <si>
    <t>124.90</t>
  </si>
  <si>
    <t>AUDI A4,A6,A8 2.5TDI 97-, VW PASSAT 2.5TDI 98-</t>
  </si>
  <si>
    <t>COF100515E</t>
  </si>
  <si>
    <t>COF100515E     (Champion)</t>
  </si>
  <si>
    <t>142.57</t>
  </si>
  <si>
    <t>AUDI A6,A8 3.7, 4.2, 3.3TDI 98-</t>
  </si>
  <si>
    <t>COF100517E</t>
  </si>
  <si>
    <t>COF100517E     (Champion)</t>
  </si>
  <si>
    <t>81.54</t>
  </si>
  <si>
    <t>BMW 316i, 318i -99, 518i -97 (M43 - engine)</t>
  </si>
  <si>
    <t>COF100519E</t>
  </si>
  <si>
    <t>COF100519E     (Champion)</t>
  </si>
  <si>
    <t>69.03</t>
  </si>
  <si>
    <t>OPEL CORSA 1.0i, 1.2i 96-, ASTRA 1.2i 00-, COMBO 1.7DTI 16V 01-</t>
  </si>
  <si>
    <t>COF100520E</t>
  </si>
  <si>
    <t>COF100520E     (Champion)</t>
  </si>
  <si>
    <t>OPEL OMEGA , ASTRA,VECTRA 1.8 16V 2.5i, 2.6i, 3.0i  98-</t>
  </si>
  <si>
    <t>COF100524E</t>
  </si>
  <si>
    <t>COF100524E     (Champion)</t>
  </si>
  <si>
    <t>FORD MONDEO III 1.8i, 2.0i, 00-07, MAZDA 6 1.8-2.0,  -07</t>
  </si>
  <si>
    <t>COF100525E</t>
  </si>
  <si>
    <t>COF100525E     (Champion)</t>
  </si>
  <si>
    <t>77.87</t>
  </si>
  <si>
    <t>VW/AUDI/SKODA 1.9,2.0 TDI  99-</t>
  </si>
  <si>
    <t>COF100527E</t>
  </si>
  <si>
    <t>COF100527E     (Champion)</t>
  </si>
  <si>
    <t>57.70</t>
  </si>
  <si>
    <t>VW/AUDI 1.2i 01-</t>
  </si>
  <si>
    <t>COF100528E</t>
  </si>
  <si>
    <t>COF100528E     (Champion)</t>
  </si>
  <si>
    <t>BMW 3(E46), 5(E39), 7 (E38), X5 3.0D 99-05</t>
  </si>
  <si>
    <t>COF100529E</t>
  </si>
  <si>
    <t>COF100529E     (Champion)</t>
  </si>
  <si>
    <t>FORD FIESTA, FUSION 1.4TDCI, PEUGEOT 206 1.4HDI 01-</t>
  </si>
  <si>
    <t>COF100530E</t>
  </si>
  <si>
    <t>COF100530E     (Champion)</t>
  </si>
  <si>
    <t>76.87</t>
  </si>
  <si>
    <t>Peugeot 207, 308, 407, 607, 508 Expert, Partner 02-, CITROEN C3,C4, C5, C8, Jamper 1.4-2.0, 03-</t>
  </si>
  <si>
    <t>COF100531E</t>
  </si>
  <si>
    <t>COF100531E     (Champion)</t>
  </si>
  <si>
    <t>FIAT Grande Punto/Idea/Punto, OPEL Astra/Corsa/Agila 1,3JTD 03 -</t>
  </si>
  <si>
    <t>COF100532E</t>
  </si>
  <si>
    <t>COF100532E     (Champion)</t>
  </si>
  <si>
    <t>86.21</t>
  </si>
  <si>
    <t>RENAULT ESPACE, LAGUNA, MASTER 2.2DCI, OPEL MOVANO 2.2DTI 00-</t>
  </si>
  <si>
    <t>COF100534E</t>
  </si>
  <si>
    <t>COF100534E     (Champion)</t>
  </si>
  <si>
    <t>65.53</t>
  </si>
  <si>
    <t>AUDI A3, A4, SEAT Leon, Toledo,  VW Golf V, IV, Passat 2.0FSI, 03-11</t>
  </si>
  <si>
    <t>COF100536E</t>
  </si>
  <si>
    <t>COF100536E     (Champion)</t>
  </si>
  <si>
    <t>127.06</t>
  </si>
  <si>
    <t>OPEL Astra H/ Zafira B/ Vectra C 1, 9CDTI 04/ 04-</t>
  </si>
  <si>
    <t>COF100539E</t>
  </si>
  <si>
    <t>COF100539E     (Champion)</t>
  </si>
  <si>
    <t>87.54</t>
  </si>
  <si>
    <t>MB W210 (E200D-E300D/TD) 95-99, SPRINTER, VITO 96-</t>
  </si>
  <si>
    <t>COF100540E</t>
  </si>
  <si>
    <t>COF100540E     (Champion)</t>
  </si>
  <si>
    <t>A3/G5/PASSAT 1.4-1.6 FSI  03-</t>
  </si>
  <si>
    <t>COF100545E</t>
  </si>
  <si>
    <t>COF100545E     (Champion)</t>
  </si>
  <si>
    <t>AUDI A4,A5,A6,A8, Q7  2,4-3,2 FSI,  05 -</t>
  </si>
  <si>
    <t>COF100548E</t>
  </si>
  <si>
    <t>COF100548E     (Champion)</t>
  </si>
  <si>
    <t>BMW 5(E34), 3(E36), 93-</t>
  </si>
  <si>
    <t>COF100549E</t>
  </si>
  <si>
    <t>COF100549E     (Champion)</t>
  </si>
  <si>
    <t>BMW E46/E90/E60/E65/X5/X3  3.0D,  03-</t>
  </si>
  <si>
    <t>COF100557E</t>
  </si>
  <si>
    <t>COF100557E     (Champion)</t>
  </si>
  <si>
    <t>70.70</t>
  </si>
  <si>
    <t>FORD TRANSIT  2.4DI, MONDEO 2.0DI/TDCI  00-</t>
  </si>
  <si>
    <t>COF100559E</t>
  </si>
  <si>
    <t>COF100559E     (Champion)</t>
  </si>
  <si>
    <t>121.56</t>
  </si>
  <si>
    <t>OPEL ASTRA G, H, J Corsa C, D, Zafira 1.4-1.8 04-</t>
  </si>
  <si>
    <t>COF100560E</t>
  </si>
  <si>
    <t>COF100560E     (Champion)</t>
  </si>
  <si>
    <t>OPEL  ASTRA, CORSA, COMBO 1.7DTI  00-</t>
  </si>
  <si>
    <t>COF100562E</t>
  </si>
  <si>
    <t>COF100562E     (Champion)</t>
  </si>
  <si>
    <t>94.71</t>
  </si>
  <si>
    <t>Ford Mondeo, Volvo S40 II, S60, S80 II, V70,  2,4D 2,5T,  04-</t>
  </si>
  <si>
    <t>COF100566E</t>
  </si>
  <si>
    <t>COF100566E     (Champion)</t>
  </si>
  <si>
    <t>117.39</t>
  </si>
  <si>
    <t>MB W164, W203, W204, W211, Sprinter  05-</t>
  </si>
  <si>
    <t>COF100567E</t>
  </si>
  <si>
    <t>COF100567E     (Champion)</t>
  </si>
  <si>
    <t>72.37</t>
  </si>
  <si>
    <t>TOYOTA Auris, Avensis, Rav 4  2.0-2.2  D-4D, 05-   LEXUS GS, IS  2.2D</t>
  </si>
  <si>
    <t>COF100568E</t>
  </si>
  <si>
    <t>COF100568E     (Champion)</t>
  </si>
  <si>
    <t>OPEL ASTRA/VECTRA B 2.2 16V 02-</t>
  </si>
  <si>
    <t>COF100569E</t>
  </si>
  <si>
    <t>COF100569E     (Champion)</t>
  </si>
  <si>
    <t>Nissan PATROL, Terrano, Renault Master II  3.0DTi  00-</t>
  </si>
  <si>
    <t>COF100571E</t>
  </si>
  <si>
    <t>COF100571E     (Champion)</t>
  </si>
  <si>
    <t>BMW E60/ E90/ E87 2, 3i-3, 5i  05-</t>
  </si>
  <si>
    <t>COF100574E</t>
  </si>
  <si>
    <t>COF100574E     (Champion)</t>
  </si>
  <si>
    <t>Nissan Primastar, X-Trail 2.0DCI 06-, OPEL Movano, Vivaro 2.0-2.5 CDTI,  03-06, RENAULT Master II, Laguna II</t>
  </si>
  <si>
    <t>COF100575E</t>
  </si>
  <si>
    <t>COF100575E     (Champion)</t>
  </si>
  <si>
    <t>HYUNDAI Accent III, I30, KIA CEED, Cerato 1.5-1.6 CRDi 05-</t>
  </si>
  <si>
    <t>COF100578E</t>
  </si>
  <si>
    <t>COF100578E     (Champion)</t>
  </si>
  <si>
    <t>FIAT 500, Doblo Punto, Opel Combo, Corsa, Meriva 1.3 D/JTD/CDTI, 05-</t>
  </si>
  <si>
    <t>COF100598E</t>
  </si>
  <si>
    <t>COF100598E     (Champion)</t>
  </si>
  <si>
    <t>78.21</t>
  </si>
  <si>
    <t>HYUNDAI i20, i30, i40  1.4-1.6CRDi 08-, iX35 1.7 CRDi 08/09 -</t>
  </si>
  <si>
    <t>COF100599E</t>
  </si>
  <si>
    <t>COF100599E     (Champion)</t>
  </si>
  <si>
    <t>Mercedes E (W212) 200CDI, 220CDI, 250CDI</t>
  </si>
  <si>
    <t>COF100601E</t>
  </si>
  <si>
    <t>COF100601E     (Champion)</t>
  </si>
  <si>
    <t>82.04</t>
  </si>
  <si>
    <t>Toyota Avensis 1.6-2.0 / Corolla VIII 1.6 VVTI / Yaris 1.8 I 09-</t>
  </si>
  <si>
    <t>COF100603E</t>
  </si>
  <si>
    <t>COF100603E     (Champion)</t>
  </si>
  <si>
    <t>178.26</t>
  </si>
  <si>
    <t>Hyundai Sonata V 3.3i, Kia Sorento 3.3i V6 05-</t>
  </si>
  <si>
    <t>COF101102S</t>
  </si>
  <si>
    <t>COF101102S     (Champion)</t>
  </si>
  <si>
    <t>41.19</t>
  </si>
  <si>
    <t>OPEL Vectra, Astra, Omega, DAEWOO Lanos, Nubira, CHEVROLET Aveo, Lacetti</t>
  </si>
  <si>
    <t>COF101103S</t>
  </si>
  <si>
    <t>COF101103S     (Champion)</t>
  </si>
  <si>
    <t>OPEL Vivaro 2,0-16v/1,9DTI 8/01- ,RENAULT Clio II 1,4-2,0-16v/1,5DCI/1,9D 9/98- ,Megane I-II 1,4-2</t>
  </si>
  <si>
    <t>COF101105S</t>
  </si>
  <si>
    <t>COF101105S     (Champion)</t>
  </si>
  <si>
    <t>COF101106S</t>
  </si>
  <si>
    <t>COF101106S     (Champion)</t>
  </si>
  <si>
    <t>OPEL ASTRA 1.7TD 94-00</t>
  </si>
  <si>
    <t>COF101107S</t>
  </si>
  <si>
    <t>COF101107S     (Champion)</t>
  </si>
  <si>
    <t>66.87</t>
  </si>
  <si>
    <t>FIAT Ducato 2.3JTD 04/02-   Daily IV 35C13, 35C13, 35S13 D, 35S13, 35S13 /P 2.3 HPT (Euro4)</t>
  </si>
  <si>
    <t>COF101270S</t>
  </si>
  <si>
    <t>COF101270S     (Champion)</t>
  </si>
  <si>
    <t>OC274  MITSUBISHI L200,L300,L400, PAJERO 2.5D/TD 86-</t>
  </si>
  <si>
    <t>COF101287S</t>
  </si>
  <si>
    <t>COF101287S     (Champion)</t>
  </si>
  <si>
    <t>116.89</t>
  </si>
  <si>
    <t>Kia Carens III,  Hyundai Santa Fe 2.2CRDI 06-</t>
  </si>
  <si>
    <t>COF101288S</t>
  </si>
  <si>
    <t>COF101288S     (Champion)</t>
  </si>
  <si>
    <t>Audi A4 1.8T, Skoda Superb 1.8T 20V , VW Passat  1.8T</t>
  </si>
  <si>
    <t>COF102101S</t>
  </si>
  <si>
    <t>COF102101S     (Champion)</t>
  </si>
  <si>
    <t>201.10</t>
  </si>
  <si>
    <t>Audi, Seat, Skoda, Volkswagen 1.8TFSI, 2.0TFSI  04-</t>
  </si>
  <si>
    <t>COF102103S</t>
  </si>
  <si>
    <t>COF102103S     (Champion)</t>
  </si>
  <si>
    <t>51.69</t>
  </si>
  <si>
    <t>OPEL Ascona 1.2-2.0, KADETT A,B,C  1.1-1.7  -84,   FORD ESCORT II -83</t>
  </si>
  <si>
    <t>COF102105S</t>
  </si>
  <si>
    <t>COF102105S     (Champion)</t>
  </si>
  <si>
    <t>FORD EXPLORER 4.0V6 93-, TOYOTA Land Cruiser 4.0-4.2, 84-96,</t>
  </si>
  <si>
    <t>COF102108S</t>
  </si>
  <si>
    <t>COF102108S     (Champion)</t>
  </si>
  <si>
    <t>CHRYSLER Voyager V 3.6 11-, FIAT Freemont 3.6 11-</t>
  </si>
  <si>
    <t>COF102110S</t>
  </si>
  <si>
    <t>COF102110S     (Champion)</t>
  </si>
  <si>
    <t>TOYOTA Corolla, Carina 1.3-1.6,  -89</t>
  </si>
  <si>
    <t>COF102119S</t>
  </si>
  <si>
    <t>COF102119S     (Champion)</t>
  </si>
  <si>
    <t>126.23</t>
  </si>
  <si>
    <t>Volvo 740, 760, 940, 960  2,4D, TD  78-92</t>
  </si>
  <si>
    <t>COF102126S</t>
  </si>
  <si>
    <t>COF102126S     (Champion)</t>
  </si>
  <si>
    <t>92.88</t>
  </si>
  <si>
    <t>Mitsubishi OutlenderII, III ASX, 2.0-2.2DI-D 10-</t>
  </si>
  <si>
    <t>COF102137S</t>
  </si>
  <si>
    <t>COF102137S     (Champion)</t>
  </si>
  <si>
    <t>RENAULT Clio II/Kangoo/Twingo 1.2 16V 5/96-|Nissan Kubistar 1.2 8/03-</t>
  </si>
  <si>
    <t>ELF</t>
  </si>
  <si>
    <t>GLACELF AUTO SUPRA (N) 1L (x18)</t>
  </si>
  <si>
    <t>96.10</t>
  </si>
  <si>
    <t>TRANSELF TYP B 80W90 2L (x12)</t>
  </si>
  <si>
    <t>215.73</t>
  </si>
  <si>
    <t>ELFMATIC G3 1L (x18)</t>
  </si>
  <si>
    <t>128.95</t>
  </si>
  <si>
    <t>TRANSELF TYP B 80W90 1L (x18)</t>
  </si>
  <si>
    <t>108.85</t>
  </si>
  <si>
    <t>LHM ELF 1L (x18)</t>
  </si>
  <si>
    <t>127.63</t>
  </si>
  <si>
    <t>TRANSELF NFJ 75W80 1L (x18)</t>
  </si>
  <si>
    <t>144.63</t>
  </si>
  <si>
    <t>EVOLUTION 900 SXR 5W30 1L (x18)</t>
  </si>
  <si>
    <t>138.95</t>
  </si>
  <si>
    <t>EVOLUTION 900 SXR 5W30 5L (x3)</t>
  </si>
  <si>
    <t>611.41</t>
  </si>
  <si>
    <t>EVOLUTION 900 SXR 5W40 1L (x18)</t>
  </si>
  <si>
    <t>137.30</t>
  </si>
  <si>
    <t>EVOLUTION 900 NF 5W40 5L (x3)</t>
  </si>
  <si>
    <t>513.89</t>
  </si>
  <si>
    <t>EVOLUTION 900 NF 5W40 4L (x4)</t>
  </si>
  <si>
    <t>428.84</t>
  </si>
  <si>
    <t>EVOLUTION 900 NF 5W40 1L (x18)</t>
  </si>
  <si>
    <t>126.05</t>
  </si>
  <si>
    <t>EVOLUTION 900 SXR 5W40 5L (x3)</t>
  </si>
  <si>
    <t>604.16</t>
  </si>
  <si>
    <t>EVOLUTION 900 SXR 5W40 4L (x4)</t>
  </si>
  <si>
    <t>494.29</t>
  </si>
  <si>
    <t>EVOLUTION FULLTECH FE 5W30 1L (x18)</t>
  </si>
  <si>
    <t>186.60</t>
  </si>
  <si>
    <t>EVOLUTION FULLTECH FE 5W30 5L (x3)</t>
  </si>
  <si>
    <t>821.03</t>
  </si>
  <si>
    <t>MOTO 2 OFF ROAD 1L (x18)</t>
  </si>
  <si>
    <t>106.58</t>
  </si>
  <si>
    <t>MOTO 4 ROAD 10W40 1L (x18)</t>
  </si>
  <si>
    <t>110.09</t>
  </si>
  <si>
    <t>EVOLUTION 700 STI 10W40 4L (x4)</t>
  </si>
  <si>
    <t>349.14</t>
  </si>
  <si>
    <t>EVOLUTION 700 TURBO DIESEL 10W40 5L (x3)</t>
  </si>
  <si>
    <t>453.73</t>
  </si>
  <si>
    <t>EVOLUTION 700 STI 10W40 5L (x3)</t>
  </si>
  <si>
    <t>426.67</t>
  </si>
  <si>
    <t>EVOLUTION 700 STI 10W40 1L (x18)</t>
  </si>
  <si>
    <t>107.15</t>
  </si>
  <si>
    <t>EVOLUTION 700 TURBO DIESEL 10W40 1L (x18)</t>
  </si>
  <si>
    <t>109.03</t>
  </si>
  <si>
    <t>EVOLUTION 700 TURBO DIESEL 10W40 4L (x4)</t>
  </si>
  <si>
    <t>368.87</t>
  </si>
  <si>
    <t>EVO</t>
  </si>
  <si>
    <t>2T BIO (GREEN) 1L</t>
  </si>
  <si>
    <t>MOTO 2T BIO (GREEN) 1Lx9</t>
  </si>
  <si>
    <t>93.29</t>
  </si>
  <si>
    <t>2T RAC (RED) 1L</t>
  </si>
  <si>
    <t>MOTO 2T RACING (RED) 1Lx9</t>
  </si>
  <si>
    <t>85.19</t>
  </si>
  <si>
    <t>ATF DII 1L</t>
  </si>
  <si>
    <t>GR DEXRON IID 1Lx9</t>
  </si>
  <si>
    <t>101.94</t>
  </si>
  <si>
    <t>ATF DIII 1L</t>
  </si>
  <si>
    <t>GR-X DEXRON III 1Lx9</t>
  </si>
  <si>
    <t>112.79</t>
  </si>
  <si>
    <t>CENTRAL GREASE 18KG</t>
  </si>
  <si>
    <t>Central Lubrication Grease 18KG</t>
  </si>
  <si>
    <t>1728.68</t>
  </si>
  <si>
    <t>CENTRAL GREASE 5KG</t>
  </si>
  <si>
    <t>Central Lubrication Grease 5KGx2</t>
  </si>
  <si>
    <t>615.66</t>
  </si>
  <si>
    <t>D3 1L 15W-40 TURBO DIESEL</t>
  </si>
  <si>
    <t>D3 15W-40 TURBO DIESEL 1Lx6</t>
  </si>
  <si>
    <t>95.50</t>
  </si>
  <si>
    <t>D3 5L 15W-40 TURBO DIESEL</t>
  </si>
  <si>
    <t>D3 15W-40 TURBO DIESEL 5Lx3</t>
  </si>
  <si>
    <t>398.18</t>
  </si>
  <si>
    <t>D5 1L 10W-40 TURBO DIESEL</t>
  </si>
  <si>
    <t>D5 10W-40 TURBO DIESEL 1Lx6</t>
  </si>
  <si>
    <t>80.41</t>
  </si>
  <si>
    <t>D5 200L 10W-40 TURBO DIES</t>
  </si>
  <si>
    <t>D5 10W-40 TURBO DIESEL 200L</t>
  </si>
  <si>
    <t>11294.84</t>
  </si>
  <si>
    <t>D5 20L 10W-40 TURBO DIESE</t>
  </si>
  <si>
    <t>D5 10W-40 TURBO DIESEL 20L</t>
  </si>
  <si>
    <t>1273.28</t>
  </si>
  <si>
    <t>D5 5L 10W-40 TURBO DIESEL</t>
  </si>
  <si>
    <t>D5 10W-40 TURBO DIESEL 5Lx3</t>
  </si>
  <si>
    <t>331.20</t>
  </si>
  <si>
    <t>D7 1L 5W-40 TURBO DIESEL</t>
  </si>
  <si>
    <t>D7 5W-40 TURBO DIESEL 1Lx6</t>
  </si>
  <si>
    <t>109.48</t>
  </si>
  <si>
    <t>D7 5L 5W-40 TURBO DIESEL</t>
  </si>
  <si>
    <t>D7 5W-40 TURBO DIESEL 5Lx3</t>
  </si>
  <si>
    <t>486.68</t>
  </si>
  <si>
    <t>DF 80W-90 1L</t>
  </si>
  <si>
    <t>DF 80W-90 GL-5 Hypo 1Lx9</t>
  </si>
  <si>
    <t>89.42</t>
  </si>
  <si>
    <t>E5 10L 10W-40</t>
  </si>
  <si>
    <t>E5 10W-40 SM/CF 10L</t>
  </si>
  <si>
    <t>645.84</t>
  </si>
  <si>
    <t>E5 200L 10W-40</t>
  </si>
  <si>
    <t>E5 10W-40 SM/CF 200L</t>
  </si>
  <si>
    <t>11109.00</t>
  </si>
  <si>
    <t>E5 20L 10W-40</t>
  </si>
  <si>
    <t>E5 10W-40 SM/CF 20L</t>
  </si>
  <si>
    <t>1251.20</t>
  </si>
  <si>
    <t>E5 4L 10W-40</t>
  </si>
  <si>
    <t>E5 10W-40 SM/CF 4Lx4</t>
  </si>
  <si>
    <t>274.16</t>
  </si>
  <si>
    <t>E7 1L 5W-40</t>
  </si>
  <si>
    <t>E7 5W-40 SN/CF 1Lx6</t>
  </si>
  <si>
    <t>106.72</t>
  </si>
  <si>
    <t>E7 4L 5W-40</t>
  </si>
  <si>
    <t>E7 5W-40 SN/CF 4Lx4</t>
  </si>
  <si>
    <t>382.72</t>
  </si>
  <si>
    <t>E9 1L 5W-30</t>
  </si>
  <si>
    <t>E9 5W-30 SN/CF 1Lx6</t>
  </si>
  <si>
    <t>116.84</t>
  </si>
  <si>
    <t>E9 4L 5W-30</t>
  </si>
  <si>
    <t>E9 5W-30 SN/CF 4Lx4</t>
  </si>
  <si>
    <t>383.64</t>
  </si>
  <si>
    <t>GREASE Mult EP2 0,4KG</t>
  </si>
  <si>
    <t>MultiLi EP2, 0,4KGx24</t>
  </si>
  <si>
    <t>57.78</t>
  </si>
  <si>
    <t>GREASE Mult EP2 18KG</t>
  </si>
  <si>
    <t>MultiLi EP2, 18KG</t>
  </si>
  <si>
    <t>1659.31</t>
  </si>
  <si>
    <t>GREASE MultX EP2 0,4KG</t>
  </si>
  <si>
    <t>MultiLiX EP2, 0,4KGx24</t>
  </si>
  <si>
    <t>74.89</t>
  </si>
  <si>
    <t>GREASE MultX EP2 5KG</t>
  </si>
  <si>
    <t>MultiLiX EP2, 5KGx2</t>
  </si>
  <si>
    <t>776.11</t>
  </si>
  <si>
    <t>M4T 10W-40 1L</t>
  </si>
  <si>
    <t>MOTO M4T 10W-40 1Lx9</t>
  </si>
  <si>
    <t>95.68</t>
  </si>
  <si>
    <t>MG-X 75W-90 1L</t>
  </si>
  <si>
    <t>MG-X 75W-90 GL-4/5 Manual 1Lx9</t>
  </si>
  <si>
    <t>149.41</t>
  </si>
  <si>
    <t>TRD3 200L</t>
  </si>
  <si>
    <t>TRD3 TRUCK DIESEL 15W-40 200L</t>
  </si>
  <si>
    <t>12441.90</t>
  </si>
  <si>
    <t>TRD3 20L</t>
  </si>
  <si>
    <t>TRD3 TRUCK DIESEL 15W-40 20L</t>
  </si>
  <si>
    <t>1350.56</t>
  </si>
  <si>
    <t>U F 1L 5W-30</t>
  </si>
  <si>
    <t>ULTIMATE F 5W30 1Lx9</t>
  </si>
  <si>
    <t>122.36</t>
  </si>
  <si>
    <t>U F 4L 5W-30</t>
  </si>
  <si>
    <t>ULTIMATE F 5W30 4Lx4</t>
  </si>
  <si>
    <t>402.04</t>
  </si>
  <si>
    <t>U J 1L 5W-30</t>
  </si>
  <si>
    <t>ULTIMATE J 5W30 1Lx9</t>
  </si>
  <si>
    <t>110.40</t>
  </si>
  <si>
    <t>U J 4L 5W-30</t>
  </si>
  <si>
    <t>ULTIMATE J 5W30 4Lx4</t>
  </si>
  <si>
    <t>358.80</t>
  </si>
  <si>
    <t>U LL 1L 5W-30</t>
  </si>
  <si>
    <t>ULTIMATE LongLife 5W30 1Lx9</t>
  </si>
  <si>
    <t>153.64</t>
  </si>
  <si>
    <t>U LL 200L 5W-30</t>
  </si>
  <si>
    <t>ULTIMATE LongLife 5W30 200L</t>
  </si>
  <si>
    <t>21466.54</t>
  </si>
  <si>
    <t>U LL 4L 5W-30</t>
  </si>
  <si>
    <t>ULTIMATE LongLife 5W30 4Lx4</t>
  </si>
  <si>
    <t>558.44</t>
  </si>
  <si>
    <t>FORTIS</t>
  </si>
  <si>
    <t>FORTIS Brake Fluid DOT-4 0,45L x 18</t>
  </si>
  <si>
    <t>44.56</t>
  </si>
  <si>
    <t>FORTIS Lime -20C 4L x 2</t>
  </si>
  <si>
    <t>103.92</t>
  </si>
  <si>
    <t>КК_FORTIS_DOT4</t>
  </si>
  <si>
    <t>FORTIS Brake Fluid DOT-4 1L x 8</t>
  </si>
  <si>
    <t>83.78</t>
  </si>
  <si>
    <t>HENGST</t>
  </si>
  <si>
    <t>E1010L</t>
  </si>
  <si>
    <t>E1010L     (HENGST)</t>
  </si>
  <si>
    <t>205.42</t>
  </si>
  <si>
    <t>=LX1780/3  FORD FocusII, III, C-Max 1.0-1.6, VOLVO S40,V40 1.6-2.0</t>
  </si>
  <si>
    <t>E104H D43</t>
  </si>
  <si>
    <t>E104H D43     (HENGST)</t>
  </si>
  <si>
    <t>95.16</t>
  </si>
  <si>
    <t>=OX127/1DEco  BMW 316i 95-02, 318i 95-99, 518i 95-97 (M43 - engine) (аналог HU715/4X)</t>
  </si>
  <si>
    <t>E106H D34</t>
  </si>
  <si>
    <t>E106H D34     (HENGST)</t>
  </si>
  <si>
    <t>84.81</t>
  </si>
  <si>
    <t>=OX154/1DEco  BMW 320i-328i, 520i-530i (M50,M52,M54 - engines) 95-</t>
  </si>
  <si>
    <t>E107H D166</t>
  </si>
  <si>
    <t>E107H D166     (HENGST)</t>
  </si>
  <si>
    <t>156.90</t>
  </si>
  <si>
    <t>=OX418DEco  OPEL 1.3 CDTI-eng.  03-, FIAT DOBLO 1.3D/JTD  04-  (UFI filtration system)  /OE682/</t>
  </si>
  <si>
    <t>E10H02</t>
  </si>
  <si>
    <t>E10H02     (HENGST)</t>
  </si>
  <si>
    <t>85.32</t>
  </si>
  <si>
    <t>=HX15  MB/RENAULT/MAN/SCANIA/VOLVO - trucks (аналог H601/4) гидрофильтр</t>
  </si>
  <si>
    <t>E110H D24</t>
  </si>
  <si>
    <t>E110H D24     (HENGST)</t>
  </si>
  <si>
    <t>93.12</t>
  </si>
  <si>
    <t>=OX68D  BMW 320i, 325i -93, 520i, 525i  -91 (M20 - engines)</t>
  </si>
  <si>
    <t>E112H D180</t>
  </si>
  <si>
    <t>E112H D180     (HENGST)</t>
  </si>
  <si>
    <t>169.29</t>
  </si>
  <si>
    <t>=OX441DEco  NISSAN, OPEL, RENAULT 2.0DCi, 2.5DCi  05-</t>
  </si>
  <si>
    <t>E11H D117</t>
  </si>
  <si>
    <t>E11H D117     (HENGST)</t>
  </si>
  <si>
    <t>87.02</t>
  </si>
  <si>
    <t>=OX153/7D1Eco  HONDA Accord VIII 2,2i-CTDi 1/04-&gt;</t>
  </si>
  <si>
    <t>E11H D155</t>
  </si>
  <si>
    <t>E11H D155     (HENGST)</t>
  </si>
  <si>
    <t>82.44</t>
  </si>
  <si>
    <t>=OX153/7DEco  MB W202/W203 (C240-C320) 97-, W210/W211 (E240-E430) 96-, W220 (S280-S600) 98-</t>
  </si>
  <si>
    <t>E11H D204</t>
  </si>
  <si>
    <t>E11H D204     (HENGST)</t>
  </si>
  <si>
    <t>163.52</t>
  </si>
  <si>
    <t>=OX153/7D2Eco  MB CDI-eng. 08-</t>
  </si>
  <si>
    <t>E11H D57</t>
  </si>
  <si>
    <t>E11H D57     (HENGST)</t>
  </si>
  <si>
    <t>98.21</t>
  </si>
  <si>
    <t>=OX153D3Eco  MB W202/W203 (C220CDI) 97-, W210/W211 (E220CDI) 98-, VITO 108CDI-112CDI 99-</t>
  </si>
  <si>
    <t>E11H02 D155</t>
  </si>
  <si>
    <t>E11H02 D155     (HENGST)</t>
  </si>
  <si>
    <t>172.68</t>
  </si>
  <si>
    <t>E122H D187</t>
  </si>
  <si>
    <t>E122H D187     (HENGST)</t>
  </si>
  <si>
    <t>222.21</t>
  </si>
  <si>
    <t>=OX361/4DEco  BMW E81/E82/E87 118D/120D/123D 04/07-&gt;/E90/E91/E92/E93 320D 03/07-&gt;/E83 2.0D 09/07-&gt;</t>
  </si>
  <si>
    <t>E125H D209</t>
  </si>
  <si>
    <t>E125H D209     (HENGST)</t>
  </si>
  <si>
    <t>229.50</t>
  </si>
  <si>
    <t>=OX560DEco  BMW 325d, 330d (E90-93), 525d, 530d (F10/F11), 730d, 740d (F01/F02), X5, X6</t>
  </si>
  <si>
    <t>E128H D24</t>
  </si>
  <si>
    <t>E128H D24     (HENGST)</t>
  </si>
  <si>
    <t>93.46</t>
  </si>
  <si>
    <t>=OX41D  BMW 525,525i,728i -87, 530i,535i,730i,735i 87-95 (M30 - engines)</t>
  </si>
  <si>
    <t>E13H D47</t>
  </si>
  <si>
    <t>E13H D47     (HENGST)</t>
  </si>
  <si>
    <t>165.38</t>
  </si>
  <si>
    <t>=OX146DEco  MAN trucks 96-</t>
  </si>
  <si>
    <t>E142H D21</t>
  </si>
  <si>
    <t>E142H D21     (HENGST)</t>
  </si>
  <si>
    <t>76.84</t>
  </si>
  <si>
    <t>=OX133DEco  MB W202 (C180-C280) -00, W124,W210 (E200-E320) 92-97, SPRINTER,VITO бензин 95-</t>
  </si>
  <si>
    <t>E146H D108</t>
  </si>
  <si>
    <t>E146H D108     (HENGST)</t>
  </si>
  <si>
    <t>72.60</t>
  </si>
  <si>
    <t>=OX382DEco  MB A-CLASS 04-&gt;</t>
  </si>
  <si>
    <t>E152L</t>
  </si>
  <si>
    <t>E152L     (HENGST)</t>
  </si>
  <si>
    <t>120.09</t>
  </si>
  <si>
    <t>=LX296  AUDI 100 2.0, 2.3, 2.8 91-94, A6 1.8-2.8 94-97  /308 X 184 X 57.3/</t>
  </si>
  <si>
    <t>E153H D25</t>
  </si>
  <si>
    <t>E153H D25     (HENGST)</t>
  </si>
  <si>
    <t>135.53</t>
  </si>
  <si>
    <t>=OX92D  MB W124 (400E, 500E, E420, E500) -97, W140 (400SE, 500SE, S420, S500) 91-98</t>
  </si>
  <si>
    <t>E154H D48</t>
  </si>
  <si>
    <t>E154H D48     (HENGST)</t>
  </si>
  <si>
    <t>78.03</t>
  </si>
  <si>
    <t>=OX143DEco  VW/AUDI 1.9TDI 96- (аналог HU726/2X)</t>
  </si>
  <si>
    <t>E160H01 D28</t>
  </si>
  <si>
    <t>E160H01 D28     (HENGST)</t>
  </si>
  <si>
    <t>150.63</t>
  </si>
  <si>
    <t>=OX161DEco  MB VARIO/ATEGO 96- (OM904. - engines)</t>
  </si>
  <si>
    <t>E161H01 D28</t>
  </si>
  <si>
    <t>E161H01 D28     (HENGST)</t>
  </si>
  <si>
    <t>181.33</t>
  </si>
  <si>
    <t>=OX 174DEco, MB  ATEGO I 98-04,  ATEGO II 01/04 -, AXOR I 01 -04,  AXOR II 10/04 -\n</t>
  </si>
  <si>
    <t>E170HN D16</t>
  </si>
  <si>
    <t>E170HN D16     (HENGST)</t>
  </si>
  <si>
    <t>=OX38D  MB W201 (2.0D, 2.5D/TD) -93, W124 (200D - 300D/TD) -95, 208D-508D 88-96</t>
  </si>
  <si>
    <t>E172H D35</t>
  </si>
  <si>
    <t>E172H D35     (HENGST)</t>
  </si>
  <si>
    <t>103.81</t>
  </si>
  <si>
    <t>=OX123/1DEco  MB W202 (C200D-C250D) 95-00, W210 (E200D-E300D/TD) 95-99, SPRINTER, VITO 96-</t>
  </si>
  <si>
    <t>E1912LI</t>
  </si>
  <si>
    <t>E1912LI     (HENGST)</t>
  </si>
  <si>
    <t>= LA98,  MB M-CLASS I (W163) 02/98 - 06/05</t>
  </si>
  <si>
    <t>E19H D83</t>
  </si>
  <si>
    <t>E19H D83     (HENGST)</t>
  </si>
  <si>
    <t>=OX188DEco  AUDI/VW GOLF, BORA, TRANSPORTER, SHARAN 1.9TDI, 2.8 VR6 99-</t>
  </si>
  <si>
    <t>E202H01 D34</t>
  </si>
  <si>
    <t>E202H01 D34     (HENGST)</t>
  </si>
  <si>
    <t>86.17</t>
  </si>
  <si>
    <t>=OX152/1DEco  BMW 530i, 540i, 730i, 740i, 830Ci (M60, M62 - engines) 92- (пластиковая крышка)</t>
  </si>
  <si>
    <t>E203H D67</t>
  </si>
  <si>
    <t>E203H D67     (HENGST)</t>
  </si>
  <si>
    <t>81.25</t>
  </si>
  <si>
    <t>=OX367DEco  BMW E60/E61/E63/E64/E65/E66/X5 3.5L-4.8L</t>
  </si>
  <si>
    <t>E203H04 D67</t>
  </si>
  <si>
    <t>E203H04 D67     (HENGST)</t>
  </si>
  <si>
    <t>147.06</t>
  </si>
  <si>
    <t>=OX636DEco  BMW 6 (E63)  4.0-6.0і 03-,  7(E65, E66) 11/01 -</t>
  </si>
  <si>
    <t>E204H D218</t>
  </si>
  <si>
    <t>E204H D218     (HENGST)</t>
  </si>
  <si>
    <t>226.45</t>
  </si>
  <si>
    <t>=OX404DEco  BMW 3 (E91, E92, E93, F30, F31) 05 - 11,  Mini</t>
  </si>
  <si>
    <t>E206L</t>
  </si>
  <si>
    <t>E206L     (HENGST)</t>
  </si>
  <si>
    <t>140.62</t>
  </si>
  <si>
    <t xml:space="preserve">=LX622  AUDI A4, VW PASSAT 1.6, 1.8, 1.8T, 2.3, 1.9TDI 96- </t>
  </si>
  <si>
    <t>E240L</t>
  </si>
  <si>
    <t>E240L     (HENGST)</t>
  </si>
  <si>
    <t>200.16</t>
  </si>
  <si>
    <t>=LX511/1  MB SPRINTER all engines 95-00</t>
  </si>
  <si>
    <t>E243L</t>
  </si>
  <si>
    <t>E243L     (HENGST)</t>
  </si>
  <si>
    <t>129.08</t>
  </si>
  <si>
    <t>=LX537  VW T4 2.0, 2.5, 2.8VR6, 1.9TD, 2.4D, 2.5TDI 90- (277 X 218 X 63)</t>
  </si>
  <si>
    <t>E251H D11</t>
  </si>
  <si>
    <t>E251H D11     (HENGST)</t>
  </si>
  <si>
    <t>187.94</t>
  </si>
  <si>
    <t>=OX69D  MB/MAN trucks &amp; buses (аналог W12110/2X)</t>
  </si>
  <si>
    <t>E27H D125</t>
  </si>
  <si>
    <t>E27H D125     (HENGST)</t>
  </si>
  <si>
    <t>117.38</t>
  </si>
  <si>
    <t>=OX379DEco  AUDI A3/A4 /A6/TT 2.0FSI/TFSI 05/03-&gt;, VW Golf V/Passat/Touran/Eos 2.0/FSI 10/03-&gt;, SKODA Octavia</t>
  </si>
  <si>
    <t>E28H01 D26</t>
  </si>
  <si>
    <t>E28H01 D26     (HENGST)</t>
  </si>
  <si>
    <t>153.51</t>
  </si>
  <si>
    <t>=OX177/3DEco  BMW 330D, 530D, 730D,  X5 3.0D  03-</t>
  </si>
  <si>
    <t>E2945LI</t>
  </si>
  <si>
    <t>E2945LI     (HENGST)</t>
  </si>
  <si>
    <t>117.04</t>
  </si>
  <si>
    <t>=LA395  Toyota Auris, Avensis, Camry (V40), Corolla, Rav4  05-</t>
  </si>
  <si>
    <t>E2976LI</t>
  </si>
  <si>
    <t>E2976LI     (HENGST)</t>
  </si>
  <si>
    <t>141.47</t>
  </si>
  <si>
    <t>=LA396  QASHQAI 07-&gt;</t>
  </si>
  <si>
    <t>E29H D89</t>
  </si>
  <si>
    <t>E29H D89     (HENGST)</t>
  </si>
  <si>
    <t>106.86</t>
  </si>
  <si>
    <t>=OX166/1DEco  BMW 316I/TI,  318I/CI  01-</t>
  </si>
  <si>
    <t>E301L</t>
  </si>
  <si>
    <t>E301L     (HENGST)</t>
  </si>
  <si>
    <t>134.85</t>
  </si>
  <si>
    <t>=LX684  VW GOLF, AUDI A3, SKODA OCTAVIA 1.8, 1.8T, 1.9TDI/SDI 96- /364 X 184,5 X 50.3/</t>
  </si>
  <si>
    <t>E30H D51</t>
  </si>
  <si>
    <t>E30H D51     (HENGST)</t>
  </si>
  <si>
    <t>77.18</t>
  </si>
  <si>
    <t>=OX346DEco  SMART 0.6-0.8 (=OX141/1D)</t>
  </si>
  <si>
    <t>E338L</t>
  </si>
  <si>
    <t>E338L     (HENGST)</t>
  </si>
  <si>
    <t>123.66</t>
  </si>
  <si>
    <t xml:space="preserve">= LX 572, CITRO?N BX,  Jumpy , C5,  FIAT Scudo, PEUGEOT  405, 406, 607,EXPERT </t>
  </si>
  <si>
    <t>E33H D96</t>
  </si>
  <si>
    <t>E33H D96     (HENGST)</t>
  </si>
  <si>
    <t>90.58</t>
  </si>
  <si>
    <t>=OX191DEco  FORD TRANSIT  2.4DI, MONDEO 2.0DI/TDCI  00-</t>
  </si>
  <si>
    <t>E34H D213</t>
  </si>
  <si>
    <t>E34H D213     (HENGST)</t>
  </si>
  <si>
    <t>405.23</t>
  </si>
  <si>
    <t>=OX359DEco  DAF  01- (e34hd97)</t>
  </si>
  <si>
    <t>E350H D44</t>
  </si>
  <si>
    <t>E350H D44     (HENGST)</t>
  </si>
  <si>
    <t>172.51</t>
  </si>
  <si>
    <t>=OX164DEco  AUDI A4,A6,A8 2.5TDI 97-, VW PASSAT 2.5TDI 98-</t>
  </si>
  <si>
    <t>E352L</t>
  </si>
  <si>
    <t>E352L     (HENGST)</t>
  </si>
  <si>
    <t>145.71</t>
  </si>
  <si>
    <t>= LX735, OPEL-VAUXHALL  ASTRA G, ASTRA H, ZAFIRA B, 1.6-2.0</t>
  </si>
  <si>
    <t>E37H D84</t>
  </si>
  <si>
    <t>E37H D84     (HENGST)</t>
  </si>
  <si>
    <t>90.07</t>
  </si>
  <si>
    <t>=OX360DEco  SKODA Fabia 03-&gt; SEAT Cordoba/Ibiza 02-&gt; VW Polo 02-&gt;</t>
  </si>
  <si>
    <t>E38H D106</t>
  </si>
  <si>
    <t>E38H D106     (HENGST)</t>
  </si>
  <si>
    <t>116.70</t>
  </si>
  <si>
    <t>=OX183/1DEco  MB W211 (E200CDI), W203 (C180 KOMPRESSOR, C200 KOMPRESSOR) 02-</t>
  </si>
  <si>
    <t>E40H D105</t>
  </si>
  <si>
    <t>E40H D105     (HENGST)</t>
  </si>
  <si>
    <t>=OX171/2DEco  FORD FIESTA, FUSION 1.4TDCI, PEUGEOT 206 1.4HDI 01-</t>
  </si>
  <si>
    <t>E422H D86</t>
  </si>
  <si>
    <t>E422H D86     (HENGST)</t>
  </si>
  <si>
    <t>263.26</t>
  </si>
  <si>
    <t>=OX425DEco  M.A.N. Serie TG-A 2/04-&gt;</t>
  </si>
  <si>
    <t>E422KP D98</t>
  </si>
  <si>
    <t>E422KP D98     (HENGST)</t>
  </si>
  <si>
    <t>335.35</t>
  </si>
  <si>
    <t>=KX191/1DEco  M.A.N. TG-A TG310A, TG350A, TG390A, TG430A 2/04--&gt;</t>
  </si>
  <si>
    <t>E44H D110</t>
  </si>
  <si>
    <t>E44H D110     (HENGST)</t>
  </si>
  <si>
    <t>108.39</t>
  </si>
  <si>
    <t>=OX339/2DEco  FORD Focus II 2.0TDCi, PEUGEOT 307/407 2.0, VOLVO S40/V50 2.0D</t>
  </si>
  <si>
    <t>E455L01-2</t>
  </si>
  <si>
    <t>E455L01-2     (HENGST)</t>
  </si>
  <si>
    <t>LX804/S  MB W220 (S280, S320, S430, S500) 98-  кмп(2шт)  /A1207-2/</t>
  </si>
  <si>
    <t>E470L</t>
  </si>
  <si>
    <t>E470L     (HENGST)</t>
  </si>
  <si>
    <t>142.15</t>
  </si>
  <si>
    <t>=LX935  FORD TRANSIT 2.0DI, 2.4DI 00-, 2.3i 01- /282 X 180 X 57.3/</t>
  </si>
  <si>
    <t>E474L</t>
  </si>
  <si>
    <t>E474L     (HENGST)</t>
  </si>
  <si>
    <t>131.46</t>
  </si>
  <si>
    <t>=LX1258  Renault Kangoo 1.5DCI `01-|Renault Clio 1.5DCI`01-</t>
  </si>
  <si>
    <t>E482L</t>
  </si>
  <si>
    <t>E482L     (HENGST)</t>
  </si>
  <si>
    <t>249.86</t>
  </si>
  <si>
    <t>=LX1566  AUDI A3 1,6/2,0FSI 5/03-&gt; ,SEAT Altea 1,6/2,0FSI 3/04-&gt; ,VW Caddy III 1,6/2,0SDI 3/04-&gt; ,Golf V 1,6/</t>
  </si>
  <si>
    <t>E488L</t>
  </si>
  <si>
    <t>E488L     (HENGST)</t>
  </si>
  <si>
    <t>171.32</t>
  </si>
  <si>
    <t>=LX1211  AUDI A3, VW GOLF, TOURAN  1.9TDI, 2.0TDI  03-</t>
  </si>
  <si>
    <t>E500KP02 D36</t>
  </si>
  <si>
    <t>E500KP02 D36     (HENGST)</t>
  </si>
  <si>
    <t>268.01</t>
  </si>
  <si>
    <t>=KX80DEco  MB - trucks &amp; buses 96-</t>
  </si>
  <si>
    <t>E52KP D36</t>
  </si>
  <si>
    <t>E52KP D36     (HENGST)</t>
  </si>
  <si>
    <t>=KX67/2DEco  MB VARIO/ATEGO 96- (OM904. - engines)</t>
  </si>
  <si>
    <t>E53KP D61</t>
  </si>
  <si>
    <t>E53KP D61     (HENGST)</t>
  </si>
  <si>
    <t>121.62</t>
  </si>
  <si>
    <t>=KX70DEco  MB W202, W210, W220 (OM611,OM612,OM613 CDI - engines)  97-</t>
  </si>
  <si>
    <t>E543L</t>
  </si>
  <si>
    <t>E543L     (HENGST)</t>
  </si>
  <si>
    <t>194.05</t>
  </si>
  <si>
    <t>=LX1573  MERCEDES Vito 119/122 W639 mot.M112 9/03-&gt;</t>
  </si>
  <si>
    <t>E55KP D69</t>
  </si>
  <si>
    <t>E55KP D69     (HENGST)</t>
  </si>
  <si>
    <t>108.56</t>
  </si>
  <si>
    <t>=KX84DEco  CITROEN JUMPY, BERLINGO, PEUGEOT PARTNER 1.9D 98-</t>
  </si>
  <si>
    <t>E56KP D72</t>
  </si>
  <si>
    <t>E56KP D72     (HENGST)</t>
  </si>
  <si>
    <t>317.20</t>
  </si>
  <si>
    <t>=KX73/1DEco  MAN - trucks 00-</t>
  </si>
  <si>
    <t>E587L</t>
  </si>
  <si>
    <t>E587L     (HENGST)</t>
  </si>
  <si>
    <t>165.05</t>
  </si>
  <si>
    <t>=LX786  VW T5 1.9TDI, 2.5TDI, 2.0, 3.2 V6  03-</t>
  </si>
  <si>
    <t>E5KFR2 D12</t>
  </si>
  <si>
    <t>E5KFR2 D12     (HENGST)</t>
  </si>
  <si>
    <t>105.17</t>
  </si>
  <si>
    <t>= KX68DEco, MB  O303 -307 BUS, NEOPLAN Jetliner -93, SETRA Series 200</t>
  </si>
  <si>
    <t>E610H D38</t>
  </si>
  <si>
    <t>E610H D38     (HENGST)</t>
  </si>
  <si>
    <t>74.80</t>
  </si>
  <si>
    <t>=OX182DEco  OPEL OMEGA 2.5i, 2.6i, 3.0i  99-, ASTRA,VECTRA 1.8 16V 98-</t>
  </si>
  <si>
    <t>E611H D256</t>
  </si>
  <si>
    <t>E611H D256     (HENGST) !!Заміна для E611H D122</t>
  </si>
  <si>
    <t>106.69</t>
  </si>
  <si>
    <t>ALFA ROMEO 159, 1.8 MPI 03.07-,  CHEVROLET Aveo II (T300) 11-, CRUZE, ORLANDO,09 -,   OPEL  Astra H, J, Corsa D, Vectra C 05-</t>
  </si>
  <si>
    <t>E61H D215</t>
  </si>
  <si>
    <t>E61H D215     (HENGST)</t>
  </si>
  <si>
    <t>122.47</t>
  </si>
  <si>
    <t>=OX387DEco  BMW E81/E87/E90/E91/E92/E93/E60/E61/E63/E65/E66/E83/E70 2.0-3.0 09/04-&gt;</t>
  </si>
  <si>
    <t>E630H02 D103</t>
  </si>
  <si>
    <t>E630H02 D103     (HENGST)</t>
  </si>
  <si>
    <t>=OX258DEco  OPEL ASTRA/VECTRA B 2.2 16V 02-</t>
  </si>
  <si>
    <t>E640KP D185</t>
  </si>
  <si>
    <t>E640KP D185     (HENGST)</t>
  </si>
  <si>
    <t>358.93</t>
  </si>
  <si>
    <t>=KX265DEco  GM CDTI - engines  08-</t>
  </si>
  <si>
    <t>E66KP D36</t>
  </si>
  <si>
    <t>E66KP D36     (HENGST)</t>
  </si>
  <si>
    <t>276.66</t>
  </si>
  <si>
    <t>=KX181DEco, DAF CF75 , CF85, XF95  01 -</t>
  </si>
  <si>
    <t>E693L</t>
  </si>
  <si>
    <t>E693L     (HENGST)</t>
  </si>
  <si>
    <t>133.83</t>
  </si>
  <si>
    <t>=LX1076  MITSUBISHI COLT 1.3i 05/96-, LANCER 1.3i, 1.6i 96-</t>
  </si>
  <si>
    <t>E69KP D100</t>
  </si>
  <si>
    <t>E69KP D100     (HENGST)</t>
  </si>
  <si>
    <t>184.72</t>
  </si>
  <si>
    <t>=KX85DEco  CITROEN/PEUGEOT/FIAT 2.0, 2.2 diesel engines 01-</t>
  </si>
  <si>
    <t>E71H D141</t>
  </si>
  <si>
    <t>E71H D141     (HENGST)</t>
  </si>
  <si>
    <t>=OX380DEco  MB 280CDI, 320CDI, VIANO, SPRINTER CDI  05-</t>
  </si>
  <si>
    <t>E732L</t>
  </si>
  <si>
    <t>E732L     (HENGST)</t>
  </si>
  <si>
    <t>199.31</t>
  </si>
  <si>
    <t>=LX792  VW TOUAREG 3.2i 02-, 5.0TDI (по 2 шт.) 02- /388.9 X 185.1 X 57.3/</t>
  </si>
  <si>
    <t>E73H D134</t>
  </si>
  <si>
    <t>E73H D134     (HENGST)</t>
  </si>
  <si>
    <t>158.43</t>
  </si>
  <si>
    <t>=OX196/1DEco  AUDI A6 3,0TDI 5/04-&gt; ,A8 3,0TDI/4,0TDI 3/03-&gt;</t>
  </si>
  <si>
    <t>E751L</t>
  </si>
  <si>
    <t>E751L     (HENGST)</t>
  </si>
  <si>
    <t>=LX1611  TOYOTA Previa 2,4-16V 2/00-&gt;/Rav4 2,0-16V 5/00-&gt;</t>
  </si>
  <si>
    <t>E75K D42</t>
  </si>
  <si>
    <t>E75K D42     (HENGST)</t>
  </si>
  <si>
    <t>39.86</t>
  </si>
  <si>
    <t>=KX 23, FIAT DUCATO 2.5D/TD -94, CITROEN/PEUGEOT 1.9D/TD, 2.5D/TD 94- (CAV-SYSTEM)</t>
  </si>
  <si>
    <t>E763L</t>
  </si>
  <si>
    <t>E763L     (HENGST)</t>
  </si>
  <si>
    <t>94.31</t>
  </si>
  <si>
    <t>=LX827  DAEWOO LANOS 1.4-1.6 97- /208.5 X 199 X 40/</t>
  </si>
  <si>
    <t>E798L</t>
  </si>
  <si>
    <t>E798L     (HENGST)</t>
  </si>
  <si>
    <t>127.39</t>
  </si>
  <si>
    <t>=LX994  RENAULT CLIO, KANGOO, MEGANE 1.4 07/96-  /1457433311/</t>
  </si>
  <si>
    <t>E79KP D118</t>
  </si>
  <si>
    <t>E79KP D118     (HENGST)</t>
  </si>
  <si>
    <t>223.23</t>
  </si>
  <si>
    <t>=KX201DEco  CITROEN C4/C5, FORD C-Max, PEUGEOT 307/407, VOLVO S40/V50 2,0HDI 04-&gt;</t>
  </si>
  <si>
    <t>E811H D62</t>
  </si>
  <si>
    <t>E811H D62     (HENGST)</t>
  </si>
  <si>
    <t>76.33</t>
  </si>
  <si>
    <t>=OX384DEco  HYUNDAI Elantra/Santa Fe/Tucson 2.0CRDi 04/01-&gt;, KIA Carens II/Sportage 2.0CRDi  07/02-&gt;</t>
  </si>
  <si>
    <t>E816H D236</t>
  </si>
  <si>
    <t>E816H D236     (HENGST)</t>
  </si>
  <si>
    <t>161.65</t>
  </si>
  <si>
    <t>=OX420DEco  AUDI 3.0TDI  10-</t>
  </si>
  <si>
    <t>E821L</t>
  </si>
  <si>
    <t>E821L     (HENGST)</t>
  </si>
  <si>
    <t>236.12</t>
  </si>
  <si>
    <t>=LX1845  MERCEDES Sprinter 06.06-&gt; VW Crafter 04.0-&gt;</t>
  </si>
  <si>
    <t>E82KP D36</t>
  </si>
  <si>
    <t>E82KP D36     (HENGST)</t>
  </si>
  <si>
    <t>=KX262DEco  DAF 05-</t>
  </si>
  <si>
    <t>E85KP D146</t>
  </si>
  <si>
    <t>E85KP D146     (HENGST)</t>
  </si>
  <si>
    <t>258.34</t>
  </si>
  <si>
    <t>=KX220DEco  VAG 1.9TDI, 2.0TDI  03-</t>
  </si>
  <si>
    <t>E88KP D158</t>
  </si>
  <si>
    <t>E88KP D158     (HENGST)</t>
  </si>
  <si>
    <t>177.60</t>
  </si>
  <si>
    <t>=KX217DEco  VW LT 28-46 II 2.8 TDI 04/02-&gt;</t>
  </si>
  <si>
    <t>E892L</t>
  </si>
  <si>
    <t>E892L     (HENGST)</t>
  </si>
  <si>
    <t>221.36</t>
  </si>
  <si>
    <t>=LX2010  VAG 1.4i, 1.6i  05-  (OE 036129620H)</t>
  </si>
  <si>
    <t>E895L</t>
  </si>
  <si>
    <t>E895L     (HENGST)</t>
  </si>
  <si>
    <t xml:space="preserve">Toyota Auris 07-, Avensis 09- , Corolla, Yaris 07- </t>
  </si>
  <si>
    <t>E89H D213</t>
  </si>
  <si>
    <t>E89H D213     (HENGST)</t>
  </si>
  <si>
    <t>491.74</t>
  </si>
  <si>
    <t>=OX434DEco  DAF CF85, XF105</t>
  </si>
  <si>
    <t>E900LI</t>
  </si>
  <si>
    <t>E900LI     (HENGST)</t>
  </si>
  <si>
    <t>=LA31  SKODA OCTAVIA 97-, VW GOLF III, PASSAT B6  00-</t>
  </si>
  <si>
    <t>E904LI</t>
  </si>
  <si>
    <t>E904LI     (HENGST)</t>
  </si>
  <si>
    <t>132.14</t>
  </si>
  <si>
    <t>=LA49  OPEL VECTRA 95-02 /410 X 145 X 24/</t>
  </si>
  <si>
    <t>E90KP D164</t>
  </si>
  <si>
    <t>E90KP D164     (HENGST)</t>
  </si>
  <si>
    <t>124.17</t>
  </si>
  <si>
    <t>=KX218DEco  NISSAN Primastar 2.5 DCI 09/03-&gt;.OPEL Movano 1.9/3.0/DTI 10/01-&gt;/Vivaro 2.5 /DTI/CDTI 05/03-&gt;.RENAULT Master II 1.9-2.5/DCI 09/00-&gt;/ III 2.5/3.0/DCI 10/03-&gt;/Trafic II 2.5 DCI 03/01-&gt;</t>
  </si>
  <si>
    <t>E91KP D165</t>
  </si>
  <si>
    <t>E91KP D165     (HENGST)</t>
  </si>
  <si>
    <t>114.33</t>
  </si>
  <si>
    <t>=KX204D  MOVANO 1.9/2.5CDTI 01-</t>
  </si>
  <si>
    <t>E944LI</t>
  </si>
  <si>
    <t>E944LI     (HENGST)</t>
  </si>
  <si>
    <t>171.83</t>
  </si>
  <si>
    <t>=LA50/1  DAF XF  97-</t>
  </si>
  <si>
    <t>E954LI</t>
  </si>
  <si>
    <t>E954LI     (HENGST)</t>
  </si>
  <si>
    <t>231.54</t>
  </si>
  <si>
    <t>=LA154  MAN trucks 00-</t>
  </si>
  <si>
    <t>E989LC</t>
  </si>
  <si>
    <t>E989LC     (HENGST)</t>
  </si>
  <si>
    <t>315.84</t>
  </si>
  <si>
    <t>=LAK 156, MB E-CLASS (W211)  All eng. 02 - 08</t>
  </si>
  <si>
    <t>E998LC</t>
  </si>
  <si>
    <t>E998LC     (HENGST)</t>
  </si>
  <si>
    <t>180.82</t>
  </si>
  <si>
    <t>=LAK181  AUDI A3 5/03-&gt; ,VW Golf V 1,4-2,0/2,0TDI 10/03-&gt; Passat B5 2,0TDI/2,5TDI ,SEAT Toledo III 10/04-&gt;</t>
  </si>
  <si>
    <t>E998LI</t>
  </si>
  <si>
    <t>E998LI     (HENGST)</t>
  </si>
  <si>
    <t>142.82</t>
  </si>
  <si>
    <t>H104WK</t>
  </si>
  <si>
    <t>H104WK     (HENGST)</t>
  </si>
  <si>
    <t>18.15</t>
  </si>
  <si>
    <t>=KL15o.F.  AUDI 80, 100(C2,C3)  - 94, VW Golf I, II, Jetta , Passat II, 140x36mm</t>
  </si>
  <si>
    <t>H108WK</t>
  </si>
  <si>
    <t>H108WK     (HENGST)</t>
  </si>
  <si>
    <t>233.57</t>
  </si>
  <si>
    <t>=KL66  BMW 3,5,7,8 - series 2.0-4.0 бензин 92-</t>
  </si>
  <si>
    <t>H10W01</t>
  </si>
  <si>
    <t>H10W01     (HENGST)</t>
  </si>
  <si>
    <t>79.05</t>
  </si>
  <si>
    <t>=OC23  FORD 1.6-2.9 бен. -93, LADA 2101-2107</t>
  </si>
  <si>
    <t>H10W10</t>
  </si>
  <si>
    <t>H10W10     (HENGST)</t>
  </si>
  <si>
    <t>130.61</t>
  </si>
  <si>
    <t>=OC232  FORD TRANSIT 2.5D/TD/DI 86-00 /95 X 92 (M22X1.5)/</t>
  </si>
  <si>
    <t>H10W13</t>
  </si>
  <si>
    <t>H10W13     (HENGST)</t>
  </si>
  <si>
    <t>60.05</t>
  </si>
  <si>
    <t>=OC383  Lada 2101-2107  (MANN  W 920/21)</t>
  </si>
  <si>
    <t>H10W15</t>
  </si>
  <si>
    <t>H10W15     (HENGST)</t>
  </si>
  <si>
    <t>97.53</t>
  </si>
  <si>
    <t>=OC236  JEEP CHEROKEE,WRANGLER 2.5, 4.0 91- /93 X 92 (3/4 - 16 UNF)/</t>
  </si>
  <si>
    <t>H10W17</t>
  </si>
  <si>
    <t>H10W17     (HENGST)</t>
  </si>
  <si>
    <t>92.45</t>
  </si>
  <si>
    <t>=OC236, Nissan ALMERA II 00 -, NAVARA 04 -</t>
  </si>
  <si>
    <t>H110WK</t>
  </si>
  <si>
    <t>H110WK     (HENGST)</t>
  </si>
  <si>
    <t>126.03</t>
  </si>
  <si>
    <t>=KL83  OPEL CORSA 1.2-1.6  93-, OMEGA B 2.0-3.2 94-, VECTRA 1.6-2.6 95-</t>
  </si>
  <si>
    <t>H111WK</t>
  </si>
  <si>
    <t>H111WK     (HENGST)</t>
  </si>
  <si>
    <t>125.69</t>
  </si>
  <si>
    <t>=KL79  VW/AUDI 1.6 - 3.0  бензин 97- (аналог WK730/1)</t>
  </si>
  <si>
    <t>H112WK</t>
  </si>
  <si>
    <t>H112WK     (HENGST)</t>
  </si>
  <si>
    <t>=KL248  PEUGEOT 106/206/306/307/405/406/407/607, CITROEN Berlingo/C2/C5/Evasion/Saxo/Xantia/FIAT/VOLVO/SMART</t>
  </si>
  <si>
    <t>H119WK</t>
  </si>
  <si>
    <t>H119WK     (HENGST)</t>
  </si>
  <si>
    <t>202.53</t>
  </si>
  <si>
    <t>=KC69  AUDI 80,100,A4,A6  1.6-2.5 diesel eng. 91- /182.5 X 80 (M16X1.5)/</t>
  </si>
  <si>
    <t>H11W02</t>
  </si>
  <si>
    <t>H11W02     (HENGST)</t>
  </si>
  <si>
    <t>102.62</t>
  </si>
  <si>
    <t>=OC467  OPEL Vivaro 2,0-16v/1,9DTI 8/01-&gt; ,RENAULT Clio II 1,4-2,0-16v/1,5DCI/1,9D 9/98-&gt; ,Megane I-II 1,4-2</t>
  </si>
  <si>
    <t>H120WK</t>
  </si>
  <si>
    <t>H120WK     (HENGST)</t>
  </si>
  <si>
    <t>203.72</t>
  </si>
  <si>
    <t>=KC90  FORD TRANSIT 2.5D/TD  84-10/97  /163 X 80/</t>
  </si>
  <si>
    <t>H12W05</t>
  </si>
  <si>
    <t>H12W05     (HENGST)</t>
  </si>
  <si>
    <t>59.88</t>
  </si>
  <si>
    <t>=OC384  Lada 2108-21099, Ока  (MANN   W 914/2)</t>
  </si>
  <si>
    <t>H130W</t>
  </si>
  <si>
    <t>H130W     (HENGST)</t>
  </si>
  <si>
    <t>74.13</t>
  </si>
  <si>
    <t xml:space="preserve">=OC217/6, SUZUKI  Gr. Vitara 1.6, 2.5  98 -03, </t>
  </si>
  <si>
    <t>H132WK</t>
  </si>
  <si>
    <t>H132WK     (HENGST)</t>
  </si>
  <si>
    <t>13.91</t>
  </si>
  <si>
    <t>=KL13  98x36mm  FIAT Ducato 1.8   -90, PEUGEOT 205 1.2 -98</t>
  </si>
  <si>
    <t>H13W01</t>
  </si>
  <si>
    <t>H13W01     (HENGST)</t>
  </si>
  <si>
    <t>71.07</t>
  </si>
  <si>
    <t>=OC205  MAZDA E2000,E2200, ISUZU MIDI 2.2D 89-, HYUNDAI 1.5-2.5 90- /72 X 75 (M20X1.5)/</t>
  </si>
  <si>
    <t>H14/2W</t>
  </si>
  <si>
    <t>H14/2W     (HENGST)</t>
  </si>
  <si>
    <t>65.31</t>
  </si>
  <si>
    <t>=OC47  VW/AUDI -97 (аналог W719/5)</t>
  </si>
  <si>
    <t>H140WK01</t>
  </si>
  <si>
    <t>H140WK01     (HENGST)</t>
  </si>
  <si>
    <t>191.34</t>
  </si>
  <si>
    <t>=KL313  MB W164/203/211/639 1,6-3,2 CDI 03-</t>
  </si>
  <si>
    <t>H144WK</t>
  </si>
  <si>
    <t>H144WK     (HENGST)</t>
  </si>
  <si>
    <t>293.45</t>
  </si>
  <si>
    <t xml:space="preserve">= KL474  FIAT Doblo/Palio/Punto/Strada 1.9D 9.99-&gt; </t>
  </si>
  <si>
    <t>H14W07</t>
  </si>
  <si>
    <t>H14W07     (HENGST)</t>
  </si>
  <si>
    <t>97.70</t>
  </si>
  <si>
    <t>=OC49  BMW 316,318,320,520,525 (M10,M20 eng.) -91 (W719/5) /118,4 X 75 (3/4 - 16 UNF)./</t>
  </si>
  <si>
    <t>H14W23</t>
  </si>
  <si>
    <t>H14W23     (HENGST)</t>
  </si>
  <si>
    <t>90.75</t>
  </si>
  <si>
    <t>=OC606  FORD ESCORT,FIESTA,FOCUS,MONDEO 1.4. - 2.0. бензин 92-  /72 X 76 (3/4 - 16 UNF)/</t>
  </si>
  <si>
    <t>H14W27</t>
  </si>
  <si>
    <t>H14W27     (HENGST)</t>
  </si>
  <si>
    <t>88.88</t>
  </si>
  <si>
    <t>=OC264  VW/AUDI 1.8-2.8 бензин 91-  /118 X 75 (3/4 - 16 UNF)/ (аналог W719/30)</t>
  </si>
  <si>
    <t>H14W30</t>
  </si>
  <si>
    <t>H14W30     (HENGST)</t>
  </si>
  <si>
    <t>175.56</t>
  </si>
  <si>
    <t>=OC456  Audi, Seat, Skoda, Volkswagen 1.8TFSI, 2.0TFSI  04-</t>
  </si>
  <si>
    <t>H14W32</t>
  </si>
  <si>
    <t>H14W32     (HENGST)</t>
  </si>
  <si>
    <t>73.79</t>
  </si>
  <si>
    <t>=OC478  TOYOTA 4Runner 4,0/4,7 8/02-&gt;/Land Cruiser 4,0-4,7/Lexus/Tundra</t>
  </si>
  <si>
    <t>H14W40</t>
  </si>
  <si>
    <t>H14W40     (HENGST)</t>
  </si>
  <si>
    <t>79.55</t>
  </si>
  <si>
    <t>=OC110o.F.  MB W201 (E2.0-E2.6) 85-93, W124 (200E-300E) 86-93 /118 X 75 (3/4 - 16 UNF)/</t>
  </si>
  <si>
    <t>H150WK</t>
  </si>
  <si>
    <t>H150WK     (HENGST)</t>
  </si>
  <si>
    <t>354.18</t>
  </si>
  <si>
    <t>=KL160/1  BMW 330D, 520D, 525D, 530D  99- (M47, M57 -engines)</t>
  </si>
  <si>
    <t>H154WK</t>
  </si>
  <si>
    <t>H154WK     (HENGST)</t>
  </si>
  <si>
    <t>226.62</t>
  </si>
  <si>
    <t>=KC98  BMW 318TDS, 325TD/TDS, 530D 93-99 (M41,M51,M57 -engines) /160.5 X 80 (M16X1.5)/</t>
  </si>
  <si>
    <t>H155WK01</t>
  </si>
  <si>
    <t>H155WK01     (HENGST)</t>
  </si>
  <si>
    <t>343.83</t>
  </si>
  <si>
    <t>=KL156/1  VAG  1.2i-2.0i  05-</t>
  </si>
  <si>
    <t>H155WK02</t>
  </si>
  <si>
    <t>H155WK02     (HENGST)</t>
  </si>
  <si>
    <t>345.70</t>
  </si>
  <si>
    <t>=KL156/3  Audi, Skoda, VW 1.2i-1.6i  05-</t>
  </si>
  <si>
    <t>H168WK</t>
  </si>
  <si>
    <t>H168WK     (HENGST)</t>
  </si>
  <si>
    <t>93.63</t>
  </si>
  <si>
    <t>=KC5  BOGDAN (Isuzu eng.) EURO II/III,  TOYOTA LANDCRUISER 4.0D/TD  80-89</t>
  </si>
  <si>
    <t>H17W05</t>
  </si>
  <si>
    <t>H17W05     (HENGST)</t>
  </si>
  <si>
    <t>=OC51  VW/AUDI/SEAT/VOLVO diesel engines (аналог W940/25) /139.5 X 92 (3/4 - 16 UNF)/</t>
  </si>
  <si>
    <t>H17W20</t>
  </si>
  <si>
    <t>H17W20     (HENGST)</t>
  </si>
  <si>
    <t>153.34</t>
  </si>
  <si>
    <t>=OC273  NISSAN PATROL 2.8TD 88-00, PRIMERA 2.0D/TD 91- /129.5 X 94 (1 - 12 UNF)/</t>
  </si>
  <si>
    <t>H17W30</t>
  </si>
  <si>
    <t>H17W30     (HENGST)</t>
  </si>
  <si>
    <t>=OC470  VW PASSAT/AUDI A4/SKODA SUPERB 1,8T 96-</t>
  </si>
  <si>
    <t>H17WK04</t>
  </si>
  <si>
    <t>H17WK04     (HENGST)</t>
  </si>
  <si>
    <t>152.32</t>
  </si>
  <si>
    <t>=KC94  SCANIA - trucks  96-</t>
  </si>
  <si>
    <t>H17WK07</t>
  </si>
  <si>
    <t>H17WK07     (HENGST)</t>
  </si>
  <si>
    <t>155.72</t>
  </si>
  <si>
    <t>=KC83  TOYOTA HIACE, HILUX 2.4D 89-, COROLLA 1.8D, 2.0D 87- /139 X 85 (3/4 - 16 UNF)/</t>
  </si>
  <si>
    <t>H17WK09</t>
  </si>
  <si>
    <t>H17WK09     (HENGST)</t>
  </si>
  <si>
    <t xml:space="preserve">=KC46 MITSUBISHI L 200  96 -07, PAJERO III 2.5-3.0TD  02 -, KIA BESTA  2.2D 93- 03,  ISUZU TROOPER 2.8TD 88-92, 3.1TD 91- </t>
  </si>
  <si>
    <t>H18W01</t>
  </si>
  <si>
    <t>H18W01     (HENGST)</t>
  </si>
  <si>
    <t>=OC60  DAF/IVECO - trucks (аналог W962, W962/6) /207.5 X 92 (1 - 12 UNF)/</t>
  </si>
  <si>
    <t>H18WDK02</t>
  </si>
  <si>
    <t>H18WDK02     (HENGST)</t>
  </si>
  <si>
    <t>253.25</t>
  </si>
  <si>
    <t>=KC197  RVI Trucks  01-</t>
  </si>
  <si>
    <t>H18WDK03</t>
  </si>
  <si>
    <t>H18WDK03     (HENGST)</t>
  </si>
  <si>
    <t>188.79</t>
  </si>
  <si>
    <t>=KC178  DAF 95 XF 530  01/97 - 09/02</t>
  </si>
  <si>
    <t>H18WK03</t>
  </si>
  <si>
    <t>H18WK03     (HENGST)</t>
  </si>
  <si>
    <t>171.15</t>
  </si>
  <si>
    <t>=KC75  Volvo FH12 93 -98, FM7 98 - 01, FM 12 98 - 05</t>
  </si>
  <si>
    <t>H18WK04</t>
  </si>
  <si>
    <t>H18WK04     (HENGST)</t>
  </si>
  <si>
    <t>169.12</t>
  </si>
  <si>
    <t>=KC7  DAF/RENAULT - trucks /207.5 X 92 (M16X1.5)/</t>
  </si>
  <si>
    <t>H192WK</t>
  </si>
  <si>
    <t>H192WK     (HENGST)</t>
  </si>
  <si>
    <t>231.03</t>
  </si>
  <si>
    <t>=KL446  FORD, SSANGYONG diesel engines  98-</t>
  </si>
  <si>
    <t>H19W06</t>
  </si>
  <si>
    <t>H19W06     (HENGST)</t>
  </si>
  <si>
    <t>136.55</t>
  </si>
  <si>
    <t>=OC105  VW LT 2.4D/TD 78-96, T4 2.4D/TD 92- /183.5 X 92 (3/4 - 16 UNF)/</t>
  </si>
  <si>
    <t>H19WK01</t>
  </si>
  <si>
    <t>H19WK01     (HENGST)</t>
  </si>
  <si>
    <t>172.34</t>
  </si>
  <si>
    <t>=KC 28, Bedford, GM, Caterpillar</t>
  </si>
  <si>
    <t>H200W10</t>
  </si>
  <si>
    <t>H200W10     (HENGST) !!заміна для H200W01</t>
  </si>
  <si>
    <t>199.48</t>
  </si>
  <si>
    <t>=OC121  RENAULT CARGO,  VOLVO CARGO\n</t>
  </si>
  <si>
    <t>H200WDK</t>
  </si>
  <si>
    <t>H200WDK     (HENGST)</t>
  </si>
  <si>
    <t>395.74</t>
  </si>
  <si>
    <t>=KC251, Renault  Magnum 90 -, Premium II 05 -,   VOLVO FH12,16,  FM/FMX 05 -   /WIX 33721/</t>
  </si>
  <si>
    <t>H200WN01</t>
  </si>
  <si>
    <t>H200WN01     (HENGST) !!заміна для H200WN</t>
  </si>
  <si>
    <t>306.00</t>
  </si>
  <si>
    <t>RENAULT CARGO,  VOLVO CARGO,  IKARUS</t>
  </si>
  <si>
    <t>H203WK</t>
  </si>
  <si>
    <t>H203WK     (HENGST)</t>
  </si>
  <si>
    <t>270.89</t>
  </si>
  <si>
    <t>=KC116  TRANSIT 2.0-2.4D 00-&gt;</t>
  </si>
  <si>
    <t>H205W01</t>
  </si>
  <si>
    <t>H205W01     (HENGST)</t>
  </si>
  <si>
    <t>150.46</t>
  </si>
  <si>
    <t>=OC214  AUDI 100 2.4D -94, A6 2.5TDI -97, VW T4 1.9D/TD 90- /111 X 108 (3/4 - 16 UNF)/</t>
  </si>
  <si>
    <t>H206W</t>
  </si>
  <si>
    <t>H206W     (HENGST)</t>
  </si>
  <si>
    <t>152.66</t>
  </si>
  <si>
    <t>=OC275, MITSUBISHI L200 2.8-3.2 TD, PAJERO III 2.8TD  -&gt; 07, TOYOTA Avensis 2.0D,  -&gt;03, HILUX 2.4 TD 95 - 06\n</t>
  </si>
  <si>
    <t>H207WK02</t>
  </si>
  <si>
    <t>H207WK02     (HENGST)  !!заміна для H207WK01</t>
  </si>
  <si>
    <t>770.44</t>
  </si>
  <si>
    <t>=KL229/4  VW TRANSPORTER V  1.9TDI, 2.5TDI, TOUAREG 2.5TDI  03-</t>
  </si>
  <si>
    <t>H209W</t>
  </si>
  <si>
    <t>H209W     (HENGST)</t>
  </si>
  <si>
    <t>168.10</t>
  </si>
  <si>
    <t>=OC274  MITSUBISHI L200,L300,L400, PAJERO 2.5D/TD 86- /125 X 102 (M26X1.5)/</t>
  </si>
  <si>
    <t>H210W01</t>
  </si>
  <si>
    <t>H210W01     (HENGST)</t>
  </si>
  <si>
    <t>191.17</t>
  </si>
  <si>
    <t>=OC206  MAN trucks &amp; buses 87- /177 X 108 (M30X2)/</t>
  </si>
  <si>
    <t>H221W</t>
  </si>
  <si>
    <t>H221W     (HENGST)</t>
  </si>
  <si>
    <t>96.52</t>
  </si>
  <si>
    <t>=OC471  RENAULT Clio II/Grand Scenic/Kangoo/Laguna II/Megane II/Trafic 1.5DCi/1.9DCi</t>
  </si>
  <si>
    <t>H228WK</t>
  </si>
  <si>
    <t>H228WK     (HENGST)</t>
  </si>
  <si>
    <t>149.61</t>
  </si>
  <si>
    <t>=KL115  KIA Sephia , Shuma 1.6i,  MAZDA 323 III, 323 IV, 626 III (GD) 1.6</t>
  </si>
  <si>
    <t>H24W04</t>
  </si>
  <si>
    <t>H24W04     (HENGST)</t>
  </si>
  <si>
    <t>146.39</t>
  </si>
  <si>
    <t>=OC485  AUDI 80 2.6, 2.8  92-96, A4,A6,A8 2.4-3.0  95- /139.5 X 92 (3/4 - 16 UNF)/</t>
  </si>
  <si>
    <t>H278WK</t>
  </si>
  <si>
    <t>H278WK     (HENGST)</t>
  </si>
  <si>
    <t>446.96</t>
  </si>
  <si>
    <t>=KL228/2D  MERCEDES (W169,W203,S203,CL203,W211,S211,) A 160-E320CDI 4/03-&gt;| Vito (W639) 2.2CDI 9/03-&gt;</t>
  </si>
  <si>
    <t>H280WK</t>
  </si>
  <si>
    <t>H280WK     (HENGST)</t>
  </si>
  <si>
    <t>312.79</t>
  </si>
  <si>
    <t>=KL572  VAG FCI/TFCI  05-</t>
  </si>
  <si>
    <t>H300W09</t>
  </si>
  <si>
    <t>H300W09     (HENGST)</t>
  </si>
  <si>
    <t>323.47</t>
  </si>
  <si>
    <t>=OC404 VW LT 28-46 II 04/96 - 07/06</t>
  </si>
  <si>
    <t>H315W</t>
  </si>
  <si>
    <t>H315W     (HENGST)</t>
  </si>
  <si>
    <t>=OC1051, Mazda, Volvo, Ford  1.4- 1.6  04-</t>
  </si>
  <si>
    <t>H342WK</t>
  </si>
  <si>
    <t>H342WK     (HENGST)</t>
  </si>
  <si>
    <t>428.30</t>
  </si>
  <si>
    <t>=KL781  RENAULT/DACIA  Duster  1.5DCi  10-</t>
  </si>
  <si>
    <t>H35WK02 D87</t>
  </si>
  <si>
    <t>H35WK02 D87     (HENGST)</t>
  </si>
  <si>
    <t>=KC63/1D  MB W201,W124,W202,W210,T1,T2,SPRINTER,VITO (OM601/OM602) /97.5 X 85 (M12X1.5)/</t>
  </si>
  <si>
    <t>H60WK07</t>
  </si>
  <si>
    <t>H60WK07     (HENGST)</t>
  </si>
  <si>
    <t>=KC24, Atlas, Deutz, Volvo</t>
  </si>
  <si>
    <t>H700WK</t>
  </si>
  <si>
    <t>H700WK     (HENGST)</t>
  </si>
  <si>
    <t>718.70</t>
  </si>
  <si>
    <t>=KC362D  RENAULT Magnum 90 -, Premium I, II 96-, 05 -, VOLVO FM / FMX 09/05 -, FH 12 93 -, FH 16 II 09 -</t>
  </si>
  <si>
    <t>H7090WK30</t>
  </si>
  <si>
    <t>H7090WK30     (HENGST)</t>
  </si>
  <si>
    <t>461.04</t>
  </si>
  <si>
    <t>=KC249D  #DAF, MAN, Scania 01/01 -</t>
  </si>
  <si>
    <t>H70WDK14</t>
  </si>
  <si>
    <t>H70WDK14     (HENGST)</t>
  </si>
  <si>
    <t>156.73</t>
  </si>
  <si>
    <t>=KC102  MAN trucks &amp; buses (навертный) /145.4 X 75 (M16X1.5)/</t>
  </si>
  <si>
    <t>H70WK02</t>
  </si>
  <si>
    <t>H70WK02     (HENGST)</t>
  </si>
  <si>
    <t>=KC18  VW/AUDI/FIAT/CITROEN/PEUGEOT diesel engines (WK842/2) /152.5 X 80 (M16X1.5)/</t>
  </si>
  <si>
    <t>H70WK05</t>
  </si>
  <si>
    <t>H70WK05     (HENGST)</t>
  </si>
  <si>
    <t>184.89</t>
  </si>
  <si>
    <t>=KL75 VW/SEAT diesel engines 88- (с подогревом)</t>
  </si>
  <si>
    <t>H70WK08</t>
  </si>
  <si>
    <t>H70WK08     (HENGST)</t>
  </si>
  <si>
    <t>283.61</t>
  </si>
  <si>
    <t>=KL147D  AUDI A3,A4,A6, VW GOLF4,BORA,PASSAT 1.9TDI  00-,  LT28-35 2.5SDI/TDI 96-</t>
  </si>
  <si>
    <t>H70WK11</t>
  </si>
  <si>
    <t>H70WK11     (HENGST)</t>
  </si>
  <si>
    <t>225.77</t>
  </si>
  <si>
    <t>=KL100/2  MB VITO 108CDI-112CDI 99-, SPRINTER CDI - engines (OM611 DELA/DE22LA) 00-</t>
  </si>
  <si>
    <t>H70WK14</t>
  </si>
  <si>
    <t>H70WK14     (HENGST)</t>
  </si>
  <si>
    <t>202.87</t>
  </si>
  <si>
    <t>=KC101  ACCENT/MATRIX/H-1 CRDI 02-10, SANTA F? II 03/06 -</t>
  </si>
  <si>
    <t>H80WK01</t>
  </si>
  <si>
    <t>H80WK01     (HENGST)</t>
  </si>
  <si>
    <t>=KL9  BMW 316i 87-90, 318i 84-90, 325i 83-93, 518i 89-97 (M10,M20,M40,M43 - engines)</t>
  </si>
  <si>
    <t>H80WK07</t>
  </si>
  <si>
    <t>H80WK07     (HENGST)</t>
  </si>
  <si>
    <t>131.63</t>
  </si>
  <si>
    <t>=KL2  VW/AUDI 1.6 - 2.8  бензин 91- (аналог WK830/7)</t>
  </si>
  <si>
    <t>H82WK01</t>
  </si>
  <si>
    <t>H82WK01     (HENGST)  !!заміна для  H310WK</t>
  </si>
  <si>
    <t>105.34</t>
  </si>
  <si>
    <t>=KL14  CITROEN/PEUGEOT 1.3-2.0, OPEL 1.2-3.0 -98, Tavria/Slavuta 1.2i, 1.3i</t>
  </si>
  <si>
    <t>H90W03</t>
  </si>
  <si>
    <t>H90W03     (HENGST)</t>
  </si>
  <si>
    <t>43.59</t>
  </si>
  <si>
    <t xml:space="preserve">=OC90,  Opel, Chevrolet, Daewoo  1.4- 2.4,  82- (аналог W712/22) </t>
  </si>
  <si>
    <t>H90W13</t>
  </si>
  <si>
    <t>H90W13     (HENGST)</t>
  </si>
  <si>
    <t>86.68</t>
  </si>
  <si>
    <t>=OC100  FIAT DUCATO 2.0 -94, PEUGEOT BOXER 1.9D 96- (W712/8) /87.5 X 75 (M20X1.5)/</t>
  </si>
  <si>
    <t>H90W17</t>
  </si>
  <si>
    <t>H90W17     (HENGST)</t>
  </si>
  <si>
    <t>81.42</t>
  </si>
  <si>
    <t>=OC295  VW GOLF,VENTO,POLO,BORA,CADDY 1.4, 1.6 91-</t>
  </si>
  <si>
    <t>H90W23</t>
  </si>
  <si>
    <t>H90W23     (HENGST)</t>
  </si>
  <si>
    <t>80.06</t>
  </si>
  <si>
    <t>=OC976  FIAT, PSA, TOYOTA  97-</t>
  </si>
  <si>
    <t>H90W25</t>
  </si>
  <si>
    <t>H90W25     (HENGST)</t>
  </si>
  <si>
    <t>69.55</t>
  </si>
  <si>
    <t>=OC115, HONDA  Accord 1.6-3.0i, 83-02, 08-&gt;,Civic 1.4-1.8, 05 -&gt;, FR-V  04 -,  HR-V 1.6 99 -, JAZZ III 08 -</t>
  </si>
  <si>
    <t>H90W27</t>
  </si>
  <si>
    <t>H90W27     (HENGST)</t>
  </si>
  <si>
    <t>101.44</t>
  </si>
  <si>
    <t xml:space="preserve">FORD FocusII 1.8-2.0, 2.0 LPG,  -12, MondeoIII, IV 1.8-2.3,-07, C-Max I 07-,TRANSIT 2.3 16V [RWD] 04/06-, MAZDA 3 I,II 2.0, 03-, 6 II (GH)1.8 MZR-2.0 MZR,  07 -, CX-5, CX-7  15 -, VOLVO S40 II, S80 II, V70III 04- </t>
  </si>
  <si>
    <t>H90W28</t>
  </si>
  <si>
    <t>H90W28     (HENGST)</t>
  </si>
  <si>
    <t>81.59</t>
  </si>
  <si>
    <t>=OC458  ALFA ROMEO/FIAT/LANCIA 1.9JTD/2.4JTD</t>
  </si>
  <si>
    <t>H97W01</t>
  </si>
  <si>
    <t>H97W01     (HENGST)</t>
  </si>
  <si>
    <t>63.95</t>
  </si>
  <si>
    <t>=OC217  TOYOTA COROLLA 1.6GTI 87-93, 1.4i, 1.6i 01-,  /85 X 65 (3/4 - 16 UNF)/</t>
  </si>
  <si>
    <t>H97W05</t>
  </si>
  <si>
    <t>H97W05     (HENGST)</t>
  </si>
  <si>
    <t>61.23</t>
  </si>
  <si>
    <t>=OC196  MAZDA 626 1.6, 2.0 -87, MX6 2.5 24V 92-, XEDOX6 2.0 V6 94- /85 X 65 (M20X1.5)/</t>
  </si>
  <si>
    <t>H97W06</t>
  </si>
  <si>
    <t>H97W06     (HENGST)</t>
  </si>
  <si>
    <t>=OC195  MAZDA 323 1.6 85-93, 1.5i 94-01, 626 1.8, 2.0 -99 /65 X 65 (M20X1.5)/</t>
  </si>
  <si>
    <t>H97W07</t>
  </si>
  <si>
    <t>H97W07     (HENGST)</t>
  </si>
  <si>
    <t>59.03</t>
  </si>
  <si>
    <t>=OC534  Toyota 1.0i-1.6i  03-</t>
  </si>
  <si>
    <t>H97W08</t>
  </si>
  <si>
    <t>H97W08     (HENGST)</t>
  </si>
  <si>
    <t>63.27</t>
  </si>
  <si>
    <t>=OC194  NISSAN MAXIMA 2.0, 3.0 95-, KIA SPORTAGE 2.0 16V 94- /85 X 65 (M20X1.5)/</t>
  </si>
  <si>
    <t>H97W10</t>
  </si>
  <si>
    <t>H97W10     (HENGST)</t>
  </si>
  <si>
    <t>61.91</t>
  </si>
  <si>
    <t>=OC218  NISSAN MICRA 1.0i, 1.3i, 92-, PRIMERA, SUNNY 2.0i -95  /85 X 65 (3/4 - 16 UNF)/</t>
  </si>
  <si>
    <t>H97W11</t>
  </si>
  <si>
    <t>H97W11     (HENGST)</t>
  </si>
  <si>
    <t>76.50</t>
  </si>
  <si>
    <t>=OC495  MITSUBISHI Colt VI 1.1-1.5 6/04-&gt;,SMART Forfour 1.1-1.5 4/04-&gt;</t>
  </si>
  <si>
    <t>T250W</t>
  </si>
  <si>
    <t>T250W     (HENGST)</t>
  </si>
  <si>
    <t>398.11</t>
  </si>
  <si>
    <t>=AL12, Avia, DAF, Leyland, Mercedes-Benz</t>
  </si>
  <si>
    <t>Z10 D64</t>
  </si>
  <si>
    <t>Z10 D64     (HENGST)</t>
  </si>
  <si>
    <t>287.85</t>
  </si>
  <si>
    <t xml:space="preserve">=OZ1D, Renault  Major - 10/96,  G - 91, Magnum  - 92 </t>
  </si>
  <si>
    <t>Z13 D94</t>
  </si>
  <si>
    <t>Z13 D94     (HENGST)</t>
  </si>
  <si>
    <t>358.25</t>
  </si>
  <si>
    <t>=OZ3  RENAULT - trucks (MAGNUM, PREMIUM) 00-</t>
  </si>
  <si>
    <t>HEPU</t>
  </si>
  <si>
    <t>P999</t>
  </si>
  <si>
    <t>P999 1.5L (синій) x12</t>
  </si>
  <si>
    <t>135.07</t>
  </si>
  <si>
    <t>Konzentrat| Frostschutz bis -37°C bei Mischungsverh?ltnis 50:50 /FEBI 01089, 86089/ 12 Flaschen je Karton / 480 Fl. je Palette</t>
  </si>
  <si>
    <t>P999-005</t>
  </si>
  <si>
    <t>P999 5L (синій) x4</t>
  </si>
  <si>
    <t>426.94</t>
  </si>
  <si>
    <t>Konzentrat| Frostschutz bis -37°C bei Mischungsverh?ltnis 50:50 /FEBI 22268/ 4 Kanister je Karton / 128 Kanister je Pal.</t>
  </si>
  <si>
    <t>P999-020</t>
  </si>
  <si>
    <t>P999 20L (синій)</t>
  </si>
  <si>
    <t>1736.56</t>
  </si>
  <si>
    <t>Konzentrat| Frostschutz bis -37°C bei Mischungsverh?ltnis 50:50 /FEBI 22270/ 28 Kanister je Palette</t>
  </si>
  <si>
    <t>P999-G12</t>
  </si>
  <si>
    <t>P999 G12 1.5L (червоний) x12</t>
  </si>
  <si>
    <t>143.35</t>
  </si>
  <si>
    <t>Konzentrat| Frostschutz bis -37°C bei Mischungsverh?ltnis 50:50 /FEBI 86381, 01381/ 12 Flaschen je Karton / 480 Fl. je Palette</t>
  </si>
  <si>
    <t>P999-G12-005</t>
  </si>
  <si>
    <t>P999 G12 5L (червоний) x4</t>
  </si>
  <si>
    <t>454.19</t>
  </si>
  <si>
    <t>Konzentrat| Frostschutz bis -37°C bei Mischungsverh?ltnis 50:50 /FEBI 22272/ 4 Kanister je Karton / 128 Kanister je Pal.</t>
  </si>
  <si>
    <t>P999-G12plus-005</t>
  </si>
  <si>
    <t>P999 G12plus 5L (фіолетовий) x4</t>
  </si>
  <si>
    <t>465.75</t>
  </si>
  <si>
    <t>Konzentrat| Frostschutz bis -37°C bei Mischungsverh?ltnis 50:50 /FEBI 19402/ 4 Kanister je Karton / 128 Kanister je Pal.</t>
  </si>
  <si>
    <t>P999-GRN</t>
  </si>
  <si>
    <t>P999 GRN 1.5L (зелений) x12</t>
  </si>
  <si>
    <t>146.97</t>
  </si>
  <si>
    <t>MB 325.0 &amp; 325.2 • ASTM D3306/D4985• Dacia/Renault • AFNOR NF R15-601• MTU MTL 5048 • JIS K 2234</t>
  </si>
  <si>
    <t>P999-YLW</t>
  </si>
  <si>
    <t>P999 YLW 1.5L (жовтий) x12</t>
  </si>
  <si>
    <t>144.56</t>
  </si>
  <si>
    <t>MTU MTL 5048 • MB 000 989 08 25 • JIS K 2234 • AFNOR NF R15-601 • ASTM D3306/D4985</t>
  </si>
  <si>
    <t>SK-C20-001</t>
  </si>
  <si>
    <t>Winter Screenwash -20 С 1L (x12)</t>
  </si>
  <si>
    <t>48.65</t>
  </si>
  <si>
    <t>SK-C20-005</t>
  </si>
  <si>
    <t>Winter Screenwash -20 С 5L (x4)</t>
  </si>
  <si>
    <t>124.72</t>
  </si>
  <si>
    <t>ZHM-SERVO-001</t>
  </si>
  <si>
    <t>ZHM-SERVO 1L (гідропідсилювач) x12</t>
  </si>
  <si>
    <t>148.35</t>
  </si>
  <si>
    <t>MB 236.3, Mercedes 000 989 91 03    Farbe/colour: gelb/yellow  /FEBI 02615/ 12 bottles per box / 600 btls. p. pallet</t>
  </si>
  <si>
    <t>ZHS-SERVO-001</t>
  </si>
  <si>
    <t>ZHS-SERVO 1L (гідропідсилювач) x12</t>
  </si>
  <si>
    <t>154.39</t>
  </si>
  <si>
    <t>vergleichbar/comp. VW G 002 000  Einsatzbereich -40°C / +110°C    Farbe/colour: gr?n/green  12 bottles per box / 600 btls. p. pallet</t>
  </si>
  <si>
    <t>KNECHT</t>
  </si>
  <si>
    <t>KC100D</t>
  </si>
  <si>
    <t>KC100D     (KNECHT)  !!заміна для KC100</t>
  </si>
  <si>
    <t>211.97</t>
  </si>
  <si>
    <t>Knecht</t>
  </si>
  <si>
    <t>TOYOTA/MAZDA 1.4- 2.4 diesel engines 97-</t>
  </si>
  <si>
    <t>KC101/1</t>
  </si>
  <si>
    <t>KC101/1     (KNECHT)</t>
  </si>
  <si>
    <t>287.96</t>
  </si>
  <si>
    <t>Hyundai H-1,i30,i40,ix35,ix55    KIA  Carens, Sorento,Venga 1.5-2.2CRDi -eng.   06-</t>
  </si>
  <si>
    <t>KC102</t>
  </si>
  <si>
    <t>KC102     (KNECHT)   !!заміна для KC66/1,KC74</t>
  </si>
  <si>
    <t>153.28</t>
  </si>
  <si>
    <t>MAN trucks &amp; buses (навертный) /145.4 X 75 (M16X1.5)/</t>
  </si>
  <si>
    <t>KC109</t>
  </si>
  <si>
    <t>KC109     (KNECHT)</t>
  </si>
  <si>
    <t>276.92</t>
  </si>
  <si>
    <t>FORD TRANSIT 2.5D/TD 10/97- /138 X 85 (12.0)/</t>
  </si>
  <si>
    <t>KC140</t>
  </si>
  <si>
    <t>KC140     (KNECHT)</t>
  </si>
  <si>
    <t>408.30</t>
  </si>
  <si>
    <t>CITRO?N\tJumper 2.0-2.8 HDi,  FIAT Ducato 1.9-2.8 JTD  00-06</t>
  </si>
  <si>
    <t>KC161</t>
  </si>
  <si>
    <t>KC161     (KNECHT)</t>
  </si>
  <si>
    <t>333.04</t>
  </si>
  <si>
    <t>Renault Mascott  04 -10</t>
  </si>
  <si>
    <t>KC18</t>
  </si>
  <si>
    <t>KC18     (KNECHT)</t>
  </si>
  <si>
    <t>140.48</t>
  </si>
  <si>
    <t>VW/AUDI/FIAT/CITROEN/PEUGEOT diesel engines /152.5 X 80 (M16X1.5), спрокладкой/ (WK842/2)</t>
  </si>
  <si>
    <t>KC182</t>
  </si>
  <si>
    <t>KC182     (KNECHT)</t>
  </si>
  <si>
    <t>346.10</t>
  </si>
  <si>
    <t>IVECO TRANSPORTER  01-</t>
  </si>
  <si>
    <t>KC188</t>
  </si>
  <si>
    <t>KC188     (KNECHT)</t>
  </si>
  <si>
    <t>267.72</t>
  </si>
  <si>
    <t>DAF, IVECO  00-</t>
  </si>
  <si>
    <t>KC191</t>
  </si>
  <si>
    <t>KC191     (KNECHT)</t>
  </si>
  <si>
    <t>232.39</t>
  </si>
  <si>
    <t>#Case, O+K, u.a. /33357/</t>
  </si>
  <si>
    <t>KC197</t>
  </si>
  <si>
    <t>KC197     (KNECHT)</t>
  </si>
  <si>
    <t>245.88</t>
  </si>
  <si>
    <t>Renault  Kerax, Magnum, Premium 00-</t>
  </si>
  <si>
    <t>KC20</t>
  </si>
  <si>
    <t>KC20     (KNECHT)</t>
  </si>
  <si>
    <t>94.76</t>
  </si>
  <si>
    <t>FORD TRANSIT 2.4D 77-86 (BOSCH-SYSTEM) /78.5 X 75 (M16X1.5)/</t>
  </si>
  <si>
    <t>KC226</t>
  </si>
  <si>
    <t>KC226     (KNECHT)</t>
  </si>
  <si>
    <t>405.17</t>
  </si>
  <si>
    <t>SPORTAGE/TUCSON 2.0 CRDI</t>
  </si>
  <si>
    <t>KC24</t>
  </si>
  <si>
    <t>KC24     (KNECHT)</t>
  </si>
  <si>
    <t>88.04</t>
  </si>
  <si>
    <t>MAN/RENAULT/SCANIA/VOLVO - trucks /118 X 75 (M16X1.5)/</t>
  </si>
  <si>
    <t>KC251</t>
  </si>
  <si>
    <t>KC251     (KNECHT)</t>
  </si>
  <si>
    <t>349.97</t>
  </si>
  <si>
    <t>Renault Premium II, Magnum DXi, VOLVO  FH,FM,FXM 05-  /WIX 33721/</t>
  </si>
  <si>
    <t>KC28</t>
  </si>
  <si>
    <t>KC28     (KNECHT)</t>
  </si>
  <si>
    <t>204.06</t>
  </si>
  <si>
    <t>Caterpillar, KOMATSU, MASSEY-FERGUSON, div.</t>
  </si>
  <si>
    <t>KC388D</t>
  </si>
  <si>
    <t>KC388D     (KNECHT)</t>
  </si>
  <si>
    <t>297.71</t>
  </si>
  <si>
    <t>MITSUBISHI L 200 2.5 DI-D  06-</t>
  </si>
  <si>
    <t>KC46</t>
  </si>
  <si>
    <t>KC46     (KNECHT)</t>
  </si>
  <si>
    <t>191.86</t>
  </si>
  <si>
    <t>ISUZU TROOPER 2.8TD 88-92, 3.1TD 91- (аналог WK920/1) /135 X 92 (M20X1.5)/</t>
  </si>
  <si>
    <t>KC5</t>
  </si>
  <si>
    <t>KC5     (KNECHT)</t>
  </si>
  <si>
    <t>98.44</t>
  </si>
  <si>
    <t>BOGDAN (Isuzu eng.) EURO II/III,  TOYOTA LANDCRUISER 4.0D/TD  80-89</t>
  </si>
  <si>
    <t>KC63/1D</t>
  </si>
  <si>
    <t>KC63/1D     (KNECHT)   !!заміна для KC63D</t>
  </si>
  <si>
    <t>123.99</t>
  </si>
  <si>
    <t>MB W201,W124,W202,W210,T1,T2,SPRINTER,VITO (OM601/OM602) /97.5 X 85 (M12X1.5)/</t>
  </si>
  <si>
    <t>KC67</t>
  </si>
  <si>
    <t>KC67     (KNECHT)</t>
  </si>
  <si>
    <t>195.72</t>
  </si>
  <si>
    <t>NISSAN diesel engines, FORD MAVERIC 2.7TD -98 /135 X 92 (3/4 - 16 UNF)/</t>
  </si>
  <si>
    <t>KC7</t>
  </si>
  <si>
    <t>KC7     (KNECHT)</t>
  </si>
  <si>
    <t>174.67</t>
  </si>
  <si>
    <t>NEOPLAN, DAF F,  XF75, XF95,  70 -95</t>
  </si>
  <si>
    <t>KC75</t>
  </si>
  <si>
    <t>KC75     (KNECHT)</t>
  </si>
  <si>
    <t>163.10</t>
  </si>
  <si>
    <t>VOLVO - trucks</t>
  </si>
  <si>
    <t>KL100/1</t>
  </si>
  <si>
    <t>KL100/1     (KNECHT)</t>
  </si>
  <si>
    <t>300.84</t>
  </si>
  <si>
    <t>MB A-class A160CDI, A170CDI 01-, VANEO 1.7CDI 02-</t>
  </si>
  <si>
    <t>KL100/2</t>
  </si>
  <si>
    <t>KL100/2     (KNECHT)</t>
  </si>
  <si>
    <t>300.42</t>
  </si>
  <si>
    <t>MB VITO 108CDI-112CDI 99-, SPRINTER CDI - engines (OM611 DELA/DE22LA) 00-</t>
  </si>
  <si>
    <t>KL13o.F.</t>
  </si>
  <si>
    <t>KL13o.F.     (KNECHT)</t>
  </si>
  <si>
    <t>18.77</t>
  </si>
  <si>
    <t>УНИВЕРСАЛЬНЫЙ-БЕНЗИН (аналог WK31/2, без упаковки)</t>
  </si>
  <si>
    <t>KL147D</t>
  </si>
  <si>
    <t>KL147D     (KNECHT)   !!заміна для KL147</t>
  </si>
  <si>
    <t>279.72</t>
  </si>
  <si>
    <t>AUDI A3,A4,A6, VW GOLF4,BORA,PASSAT 1.9TDI  00-,  LT28-35 2.5SDI/TDI 96-</t>
  </si>
  <si>
    <t>KL154</t>
  </si>
  <si>
    <t>KL154     (KNECHT)</t>
  </si>
  <si>
    <t>489.47</t>
  </si>
  <si>
    <t>KL156/3</t>
  </si>
  <si>
    <t>KL156/3     (KNECHT)</t>
  </si>
  <si>
    <t>364.43</t>
  </si>
  <si>
    <t>Audi, Skoda, VW 1.2i-1.6i  05- (4bar)</t>
  </si>
  <si>
    <t>KL160/1</t>
  </si>
  <si>
    <t>KL160/1     (KNECHT)   !!заміна для KL160</t>
  </si>
  <si>
    <t>536.91</t>
  </si>
  <si>
    <t>BMW 330D, 520D, 525D, 530D  99- (M47, M57 -engines)</t>
  </si>
  <si>
    <t>KL169/4D</t>
  </si>
  <si>
    <t>KL169/4D     (KNECHT)   !!заміна для KL169/3D, KL169/4</t>
  </si>
  <si>
    <t>510.42</t>
  </si>
  <si>
    <t>BMW  3(E46), 5(E61),X3,X5 2,5-3,3D 04-10</t>
  </si>
  <si>
    <t>KL174</t>
  </si>
  <si>
    <t>KL174     (KNECHT)</t>
  </si>
  <si>
    <t>356.89</t>
  </si>
  <si>
    <t>MB VITO 108CDI-112CDI 99-, SPRINTER CDI (OM611 DELA/DE22LA) 00- (с датчиком)</t>
  </si>
  <si>
    <t>KL176/6D</t>
  </si>
  <si>
    <t>KL176/6D     (KNECHT)</t>
  </si>
  <si>
    <t>220.06</t>
  </si>
  <si>
    <t>KL195</t>
  </si>
  <si>
    <t>KL195     (KNECHT)</t>
  </si>
  <si>
    <t>385.12</t>
  </si>
  <si>
    <t>MERCEDES Sprinter 2-t/3-t/4-t mot.OM612/OM 4/00-&gt;</t>
  </si>
  <si>
    <t>KL2</t>
  </si>
  <si>
    <t>KL2     (KNECHT)</t>
  </si>
  <si>
    <t>VW/AUDI 1.6 - 2.8  бензин 91- (аналог WK830/7)</t>
  </si>
  <si>
    <t>KL228/2D</t>
  </si>
  <si>
    <t>KL228/2D     (KNECHT)</t>
  </si>
  <si>
    <t>598.20</t>
  </si>
  <si>
    <t>MERCEDES (W169,W203,S203,CL203,W211,S211,) A 160-E320CDI 4/03-&gt;| Vito (W639) 2.2CDI 9/03-&gt;</t>
  </si>
  <si>
    <t>KL229/2</t>
  </si>
  <si>
    <t>KL229/2     (KNECHT)</t>
  </si>
  <si>
    <t>517.53</t>
  </si>
  <si>
    <t>VW TRANSPORTER V 2.5 TDI  06-</t>
  </si>
  <si>
    <t>KL229/4</t>
  </si>
  <si>
    <t>KL229/4     (KNECHT)   !!заміна для KL229/3</t>
  </si>
  <si>
    <t>858.99</t>
  </si>
  <si>
    <t>VW TRANSPORTER V  1.9TDI, 2.5TDI, TOUAREG 2.5TDI  03-</t>
  </si>
  <si>
    <t>KL248</t>
  </si>
  <si>
    <t>KL248     (KNECHT)</t>
  </si>
  <si>
    <t>155.48</t>
  </si>
  <si>
    <t>PEUGEOT 106/206/306/307/405/406/407/607, CITROEN Berlingo/C2/C5/Evasion/Saxo/Xantia/FIAT/VOLVO/SMART</t>
  </si>
  <si>
    <t>KL313</t>
  </si>
  <si>
    <t>KL313     (KNECHT)</t>
  </si>
  <si>
    <t>370.39</t>
  </si>
  <si>
    <t>MB W164/203/211/639 1,6-3,2 CDI 03-</t>
  </si>
  <si>
    <t>KL36</t>
  </si>
  <si>
    <t>KL36     (KNECHT)</t>
  </si>
  <si>
    <t>280.78</t>
  </si>
  <si>
    <t>AUDI 80 1.6-2.8 91-96, A4,A6 1.8-2.7 97-,  A8  2.8, 3.7, 4.2 96- (аналог WK725)</t>
  </si>
  <si>
    <t>KL431D</t>
  </si>
  <si>
    <t>KL431D     (KNECHT)   !!заміна для KL431</t>
  </si>
  <si>
    <t>522.93</t>
  </si>
  <si>
    <t>FORD Focus II/C-Max 1.6 TDCi 10/03-&gt;, PEUGEOT 206/307/407 02/04-&gt;, CITROEN C4/C5 11/04-&gt;, MAZDA 3</t>
  </si>
  <si>
    <t>KL446</t>
  </si>
  <si>
    <t>KL446     (KNECHT)</t>
  </si>
  <si>
    <t>492.10</t>
  </si>
  <si>
    <t>FORD Focus/Fiesta IV-V 1,8DI-TDCi</t>
  </si>
  <si>
    <t>KL458</t>
  </si>
  <si>
    <t>KL458     (KNECHT)</t>
  </si>
  <si>
    <t>FORD Fusion / Fiesta  / MAZDA 2, 1.3-1.6 02-</t>
  </si>
  <si>
    <t>KL470</t>
  </si>
  <si>
    <t>KL470     (KNECHT)</t>
  </si>
  <si>
    <t>135.98</t>
  </si>
  <si>
    <t>AVEO 1.2-1.4</t>
  </si>
  <si>
    <t>KL473</t>
  </si>
  <si>
    <t>KL473     (KNECHT)</t>
  </si>
  <si>
    <t>575.05</t>
  </si>
  <si>
    <t>BMW X5 3.0D 12.03-&gt;</t>
  </si>
  <si>
    <t>KL490/1D</t>
  </si>
  <si>
    <t>KL490/1D     (KNECHT)</t>
  </si>
  <si>
    <t>908.41</t>
  </si>
  <si>
    <t>MB\tSPRINTER II  CDI  06-</t>
  </si>
  <si>
    <t>KL567</t>
  </si>
  <si>
    <t>KL567     (KNECHT)</t>
  </si>
  <si>
    <t>1050.27</t>
  </si>
  <si>
    <t>Alfa Romeo, Fiat, Lancia 1.3- 2.4JTDM, 1.6-2.4 Mulijet, OPEL 1.3-2.0CDTI,   04-11  ( WF8408)</t>
  </si>
  <si>
    <t>KL572</t>
  </si>
  <si>
    <t>KL572     (KNECHT)</t>
  </si>
  <si>
    <t>362.85</t>
  </si>
  <si>
    <t>VAG 1.2-2.0 TFSI / TSI  05-</t>
  </si>
  <si>
    <t>KL573</t>
  </si>
  <si>
    <t>KL573     (KNECHT)</t>
  </si>
  <si>
    <t>137.63</t>
  </si>
  <si>
    <t>CHEVROLET Epica 2.0/2.5 06/06-, Lacetti 1.4-1.8,  Matiz 0.8-1.0, DAEWOO Evanda 2.0 08/02-&gt;/Lacetti 1.4-1.8 02/04-&gt;/Lanos 1.4-1.6/16V 05/97-, Nubira 1.6/1.8 07/03-&gt;</t>
  </si>
  <si>
    <t>KL596</t>
  </si>
  <si>
    <t>KL596     (KNECHT)</t>
  </si>
  <si>
    <t>372.78</t>
  </si>
  <si>
    <t>AUDI TDI  07-</t>
  </si>
  <si>
    <t>KL63o.F.</t>
  </si>
  <si>
    <t>KL63o.F.     (KNECHT)</t>
  </si>
  <si>
    <t>75.26</t>
  </si>
  <si>
    <t xml:space="preserve">RENAULT 19, 21,Trafic, Master 1.4-2.0, 80-91, PEUGEOT 205, 309, 405 1.6- 2.0, 80 -94  (аналог WK42/2) </t>
  </si>
  <si>
    <t>KL658</t>
  </si>
  <si>
    <t>KL658     (KNECHT)</t>
  </si>
  <si>
    <t>499.93</t>
  </si>
  <si>
    <t>Audi A6 II 2.0TDI, Seat Exeo 2.0TDI, 08-</t>
  </si>
  <si>
    <t>KL75</t>
  </si>
  <si>
    <t>KL75     (KNECHT)   !!заміна для KL55</t>
  </si>
  <si>
    <t>235.70</t>
  </si>
  <si>
    <t>VW/SEAT diesel engines 88- (с подогревом)</t>
  </si>
  <si>
    <t>KL83</t>
  </si>
  <si>
    <t>KL83     (KNECHT)</t>
  </si>
  <si>
    <t>175.73</t>
  </si>
  <si>
    <t>OPEL CORSA 1.2-1.6  93-, OMEGA B 2.0-3.2 94-, VECTRA 1.6-2.6 95-</t>
  </si>
  <si>
    <t>KL96</t>
  </si>
  <si>
    <t>KL96     (KNECHT)</t>
  </si>
  <si>
    <t>1217.34</t>
  </si>
  <si>
    <t>BMW 540i, 735i, 740i 98- (M62 - eng.), 520i, 525i, 530i, (M54 - eng.) 00-</t>
  </si>
  <si>
    <t>KX178DEco</t>
  </si>
  <si>
    <t>KX178DEco     (KNECHT)</t>
  </si>
  <si>
    <t>403.54</t>
  </si>
  <si>
    <t>AUDI A3 1.9TDI/2.0TDI 05/03-&gt;. VW Caddy/GolfV/Touran 1.9TDi/2.0TDi 02/03-&gt;</t>
  </si>
  <si>
    <t>KX181DEco</t>
  </si>
  <si>
    <t>KX181DEco     (KNECHT)</t>
  </si>
  <si>
    <t>260.61</t>
  </si>
  <si>
    <t xml:space="preserve">DAF LKV 99 - </t>
  </si>
  <si>
    <t>KX191/1DEco</t>
  </si>
  <si>
    <t>KX191/1DEco     (KNECHT)</t>
  </si>
  <si>
    <t>320.41</t>
  </si>
  <si>
    <t>M.A.N. TG-A TG310A, TG350A, TG390A, TG430A 2/04--&gt;</t>
  </si>
  <si>
    <t>KX204D</t>
  </si>
  <si>
    <t>KX204D     (KNECHT)</t>
  </si>
  <si>
    <t>241.49</t>
  </si>
  <si>
    <t>MOVANO 1.9/2.5CDTI 01-</t>
  </si>
  <si>
    <t>KX208DEco</t>
  </si>
  <si>
    <t>KX208DEco     (KNECHT)</t>
  </si>
  <si>
    <t>390.74</t>
  </si>
  <si>
    <t>OPEL CDTI-eng. ALL  03-, CITROEN JUMPER 2.2HDI, 3.0HDI  06-, CHEVROLET CAPTIVA, EPICA, LACETTI 2.0D  06-</t>
  </si>
  <si>
    <t>KX218DEco</t>
  </si>
  <si>
    <t>KX218DEco     (KNECHT)</t>
  </si>
  <si>
    <t>241.78</t>
  </si>
  <si>
    <t>NISSAN Primastar 2.5 DCI 09/03-&gt;.OPEL Movano 1.9/3.0/DTI 10/01-&gt;/Vivaro 2.5 /DTI/CDTI 05/03-&gt;.RENAULT Master II 1.9-2.5/DCI 09/00-&gt;/ III 2.5/3.0/DCI 10/03-&gt;/Trafic II 2.5 DCI 03/01-&gt;</t>
  </si>
  <si>
    <t>KX220DEco</t>
  </si>
  <si>
    <t>KX220DEco     (KNECHT)</t>
  </si>
  <si>
    <t>387.58</t>
  </si>
  <si>
    <t>VAG 1.9TDI, 2.0TDI  03-</t>
  </si>
  <si>
    <t>KX222DEco</t>
  </si>
  <si>
    <t>KX222DEco     (KNECHT)</t>
  </si>
  <si>
    <t>393.02</t>
  </si>
  <si>
    <t>VW CRAFTER 2.5 TDI  06-</t>
  </si>
  <si>
    <t>KX24D</t>
  </si>
  <si>
    <t>KX24D     (KNECHT)</t>
  </si>
  <si>
    <t>142.05</t>
  </si>
  <si>
    <t>Perkins, div.</t>
  </si>
  <si>
    <t>KX265DEco</t>
  </si>
  <si>
    <t>KX265DEco     (KNECHT)</t>
  </si>
  <si>
    <t>441.42</t>
  </si>
  <si>
    <t>GM CDTI - engines  08-</t>
  </si>
  <si>
    <t>KX342Eco</t>
  </si>
  <si>
    <t>KX342Eco     (KNECHT)</t>
  </si>
  <si>
    <t>434.61</t>
  </si>
  <si>
    <t>Audi Q3, Seat, VW Tiguan 2.0TDI , 10-</t>
  </si>
  <si>
    <t>KX38</t>
  </si>
  <si>
    <t>KX38     (KNECHT)</t>
  </si>
  <si>
    <t>143.34</t>
  </si>
  <si>
    <t>DEUTZ-FAHR, JOHN DEERE, STEINBOCK индустриальная и с/х техника</t>
  </si>
  <si>
    <t>KX63/1</t>
  </si>
  <si>
    <t>KX63/1     (KNECHT)</t>
  </si>
  <si>
    <t>129.78</t>
  </si>
  <si>
    <t>CITROEN JUMPY, BERLINGO, FIAT SCUDO, PEUGEOT EXPERT  1.9D/TD 95-</t>
  </si>
  <si>
    <t>KX67/2DEco</t>
  </si>
  <si>
    <t>KX67/2DEco     (KNECHT)   !!заміна для KX67/1DEco</t>
  </si>
  <si>
    <t>171.87</t>
  </si>
  <si>
    <t>MB VARIO/ATEGO 96- (OM904. - engines)</t>
  </si>
  <si>
    <t>KX70DEco</t>
  </si>
  <si>
    <t>KX70DEco     (KNECHT)</t>
  </si>
  <si>
    <t>153.80</t>
  </si>
  <si>
    <t>MB W202, W210, W220 (OM611,OM612,OM613 CDI - engines)  97-</t>
  </si>
  <si>
    <t>KX73/1DEco</t>
  </si>
  <si>
    <t>KX73/1DEco     (KNECHT)</t>
  </si>
  <si>
    <t>248.03</t>
  </si>
  <si>
    <t>MAN - trucks 00-</t>
  </si>
  <si>
    <t>KX80DEco</t>
  </si>
  <si>
    <t>KX80DEco     (KNECHT)</t>
  </si>
  <si>
    <t>273.98</t>
  </si>
  <si>
    <t>MB - trucks &amp; buses 96-</t>
  </si>
  <si>
    <t>KX84DEco</t>
  </si>
  <si>
    <t>KX84DEco     (KNECHT)</t>
  </si>
  <si>
    <t>193.09</t>
  </si>
  <si>
    <t>CITROEN JUMPY, BERLINGO, PEUGEOT PARTNER 1.9D 98- (овальний)</t>
  </si>
  <si>
    <t>KX85DEco</t>
  </si>
  <si>
    <t>KX85DEco     (KNECHT)</t>
  </si>
  <si>
    <t>267.62</t>
  </si>
  <si>
    <t>CITROEN/PEUGEOT/FIAT 2.0, 2.2 diesel engines 01-</t>
  </si>
  <si>
    <t>LA119</t>
  </si>
  <si>
    <t>LA119     (KNECHT)</t>
  </si>
  <si>
    <t>182.90</t>
  </si>
  <si>
    <t>NISSAN ALMERA 08/00- /220 X 202 X 30/</t>
  </si>
  <si>
    <t>LA144</t>
  </si>
  <si>
    <t>LA144     (KNECHT)</t>
  </si>
  <si>
    <t>232.02</t>
  </si>
  <si>
    <t>FIAT PUNTO (+ A/C) 09/99-, DOBLO 01-</t>
  </si>
  <si>
    <t>LA157</t>
  </si>
  <si>
    <t>LA157     (KNECHT)</t>
  </si>
  <si>
    <t>156.03</t>
  </si>
  <si>
    <t>Toyota Avensis / Corolla , Corolla Verso    02-08</t>
  </si>
  <si>
    <t>LA158</t>
  </si>
  <si>
    <t>LA158     (KNECHT)   !!заміна для LA443</t>
  </si>
  <si>
    <t>171.67</t>
  </si>
  <si>
    <t>MAZDA 6 02-&gt;</t>
  </si>
  <si>
    <t>LA182</t>
  </si>
  <si>
    <t>LA182     (KNECHT)</t>
  </si>
  <si>
    <t>TOUAREG/MULTIVAN/T5</t>
  </si>
  <si>
    <t>LA216</t>
  </si>
  <si>
    <t>LA216     (KNECHT)</t>
  </si>
  <si>
    <t>180.50</t>
  </si>
  <si>
    <t>HONDA Accord VIII 2.0/2.4 2/03-&gt;, TOYOTA Avensis T25 1.8 4/03-&gt;</t>
  </si>
  <si>
    <t>LA229</t>
  </si>
  <si>
    <t>LA229     (KNECHT)</t>
  </si>
  <si>
    <t>269.74</t>
  </si>
  <si>
    <t>MB VITO/VIANO 03-&gt;</t>
  </si>
  <si>
    <t>LA230</t>
  </si>
  <si>
    <t>LA230     (KNECHT)</t>
  </si>
  <si>
    <t>173.33</t>
  </si>
  <si>
    <t>MICRA/NOTE/MODUS 03-&gt;</t>
  </si>
  <si>
    <t>LA287</t>
  </si>
  <si>
    <t>LA287     (KNECHT)</t>
  </si>
  <si>
    <t>559.36</t>
  </si>
  <si>
    <t>MB W140</t>
  </si>
  <si>
    <t>LA296/S</t>
  </si>
  <si>
    <t>LA296/S     (KNECHT)</t>
  </si>
  <si>
    <t>186.39</t>
  </si>
  <si>
    <t>CARISMA 95-06, Pagero Sport (K90) 98-08  (кмп 2 шт)  \n</t>
  </si>
  <si>
    <t>LA298</t>
  </si>
  <si>
    <t>LA298     (KNECHT)</t>
  </si>
  <si>
    <t>151.98</t>
  </si>
  <si>
    <t>KIA Carnival III 2.9 CRDI 06/06-&gt;/Cerato 1.6/2.0/CRDI 04/04-&gt;</t>
  </si>
  <si>
    <t>LA301</t>
  </si>
  <si>
    <t>LA301     (KNECHT)</t>
  </si>
  <si>
    <t>202.03</t>
  </si>
  <si>
    <t>KIA RIO II/SPORTAGE, Hyundai I30, I40  06-</t>
  </si>
  <si>
    <t>LA307</t>
  </si>
  <si>
    <t>LA307     (KNECHT)</t>
  </si>
  <si>
    <t>188.23</t>
  </si>
  <si>
    <t>SPRINTER/CRAFTER 06-&gt;</t>
  </si>
  <si>
    <t>LA31</t>
  </si>
  <si>
    <t>LA31     (KNECHT)   !!заміна для LA13</t>
  </si>
  <si>
    <t>104.52</t>
  </si>
  <si>
    <t>SKODA OCTAVIA 97-, VW GOLF III, PASSAT B6  00-</t>
  </si>
  <si>
    <t>LA382</t>
  </si>
  <si>
    <t>LA382     (KNECHT)</t>
  </si>
  <si>
    <t>323.57</t>
  </si>
  <si>
    <t>Opel Vivaro, Renault Trafic II 2/01--&gt;</t>
  </si>
  <si>
    <t>LA395</t>
  </si>
  <si>
    <t>LA395     (KNECHT)</t>
  </si>
  <si>
    <t>163.58</t>
  </si>
  <si>
    <t>Toyota Auris, Avensis, Camry (V40), Corolla, Rav4  05-</t>
  </si>
  <si>
    <t>LA396</t>
  </si>
  <si>
    <t>LA396     (KNECHT)</t>
  </si>
  <si>
    <t>188.05</t>
  </si>
  <si>
    <t>Nissan QASHQAI,  X-TRAIL  1.5-2.0,   07-</t>
  </si>
  <si>
    <t>LA447</t>
  </si>
  <si>
    <t>LA447     (KNECHT)</t>
  </si>
  <si>
    <t>Hyundai Accent  (MC) 05-  /1314 = WP2046/</t>
  </si>
  <si>
    <t>LA75</t>
  </si>
  <si>
    <t>LA75     (KNECHT)</t>
  </si>
  <si>
    <t>184.00</t>
  </si>
  <si>
    <t>OPEL ASTRA 02/98-, ZAFIRA 04/99-, CHEVI NIVA (DELPHI-HOUSING) /288 X 196 X 29/</t>
  </si>
  <si>
    <t>LA809</t>
  </si>
  <si>
    <t>LA809     (KNECHT)</t>
  </si>
  <si>
    <t>221.90</t>
  </si>
  <si>
    <t>Audi A1, Seat  Ibica, Skoda Fabia   All eng.  06-</t>
  </si>
  <si>
    <t>LA83</t>
  </si>
  <si>
    <t>LA83     (KNECHT)</t>
  </si>
  <si>
    <t>305.81</t>
  </si>
  <si>
    <t>MB SPRINTER 01/95-, VW LT 05/96- /365 X 155 X 29/</t>
  </si>
  <si>
    <t>LAK181</t>
  </si>
  <si>
    <t>LAK181     (KNECHT)</t>
  </si>
  <si>
    <t>206.59</t>
  </si>
  <si>
    <t>AUDI A3 5/03-&gt; ,VW Golf V 1,4-2,0/2,0TDI 10/03-&gt; Passat B5 2,0TDI/2,5TDI ,SEAT Toledo III 10/04-&gt;</t>
  </si>
  <si>
    <t>LAK182</t>
  </si>
  <si>
    <t>LAK182     (KNECHT)</t>
  </si>
  <si>
    <t>288.51</t>
  </si>
  <si>
    <t>PORSCHE Cayenne 9/02-&gt; ,VW Touareg 10/02-&gt; ,T5 [+A/C] 4/03-&gt;</t>
  </si>
  <si>
    <t>LAK221/S</t>
  </si>
  <si>
    <t>LAK221/S     (KNECHT)</t>
  </si>
  <si>
    <t>556.05</t>
  </si>
  <si>
    <t>BMW X5 (E70) 3.0/4.8/D/SI/I 02/07-&gt;  ЦЕНА ЗА КМП(2ШТ)\n</t>
  </si>
  <si>
    <t>LAK295/S</t>
  </si>
  <si>
    <t>LAK295/S     (KNECHT)</t>
  </si>
  <si>
    <t>594.87</t>
  </si>
  <si>
    <t>MERCEDES W164/W251/X164,   05-  (кмп 2 шт)\n</t>
  </si>
  <si>
    <t>LAK307</t>
  </si>
  <si>
    <t>LAK307     (KNECHT)</t>
  </si>
  <si>
    <t>294.77</t>
  </si>
  <si>
    <t>SPRINTER 06-&gt;</t>
  </si>
  <si>
    <t>LAK63</t>
  </si>
  <si>
    <t>LAK63     (KNECHT)</t>
  </si>
  <si>
    <t>230.92</t>
  </si>
  <si>
    <t>VW BORA, GOLF IV 08/97- (угольный) /282 X 206 X 30/</t>
  </si>
  <si>
    <t>LAK855</t>
  </si>
  <si>
    <t>LAK855     (KNECHT)</t>
  </si>
  <si>
    <t>307.28</t>
  </si>
  <si>
    <t xml:space="preserve">Porsche Cayenne II 3.0-4.8D, VW Touareg 3.0-4.2TDI 10- </t>
  </si>
  <si>
    <t>LX1006/2D</t>
  </si>
  <si>
    <t>LX1006/2D     (KNECHT)</t>
  </si>
  <si>
    <t>302.50</t>
  </si>
  <si>
    <t>A6 2.4/3.2/4.2 04-&gt;</t>
  </si>
  <si>
    <t>LX1008/3</t>
  </si>
  <si>
    <t>LX1008/3     (KNECHT)</t>
  </si>
  <si>
    <t>231.66</t>
  </si>
  <si>
    <t>MITSUBISHI Colt VI 1,1/1,3/1,5 6/04-&gt;</t>
  </si>
  <si>
    <t>LX1030</t>
  </si>
  <si>
    <t>LX1030     (KNECHT)</t>
  </si>
  <si>
    <t>116.47</t>
  </si>
  <si>
    <t>HYUNDAI ELANTRA (XD) 1.6i, 2.0i, 2.0CRDI 00-, SANTA FE 2.0CRDI 01- /256 X 175 X 41/</t>
  </si>
  <si>
    <t>LX1039</t>
  </si>
  <si>
    <t>LX1039     (KNECHT)</t>
  </si>
  <si>
    <t>107.27</t>
  </si>
  <si>
    <t>HYUNDAI SONATA 2.0i, 2.5i, 2.7i 06/98-, TRAJET (all eng.) /239 X 190 X 41.5/</t>
  </si>
  <si>
    <t>LX1049</t>
  </si>
  <si>
    <t>LX1049     (KNECHT)</t>
  </si>
  <si>
    <t>91.63</t>
  </si>
  <si>
    <t>HONDA CIVIC 1.5i, 1.6i 11/95-01/01, CR-V 2.0i 95-01 /190 X 197,5 X 49,8/</t>
  </si>
  <si>
    <t>LX1211</t>
  </si>
  <si>
    <t>LX1211     (KNECHT)</t>
  </si>
  <si>
    <t>176.95</t>
  </si>
  <si>
    <t>LX1253</t>
  </si>
  <si>
    <t>LX1253     (KNECHT)</t>
  </si>
  <si>
    <t>262.94</t>
  </si>
  <si>
    <t>AUDI A6(C6)  2.0TDi 04-11</t>
  </si>
  <si>
    <t>LX1258</t>
  </si>
  <si>
    <t>LX1258     (KNECHT)</t>
  </si>
  <si>
    <t>180.69</t>
  </si>
  <si>
    <t>Renault Kangoo 1.5DCI `01-|Renault Clio 1.5DCI`01-</t>
  </si>
  <si>
    <t>LX1286</t>
  </si>
  <si>
    <t>LX1286     (KNECHT)</t>
  </si>
  <si>
    <t>TOYOTA Corolla 1,4-1,8 16V 10/01-&gt;/Avensis 2,0 5/01-&gt;</t>
  </si>
  <si>
    <t>LX1298</t>
  </si>
  <si>
    <t>LX1298     (KNECHT)</t>
  </si>
  <si>
    <t>133.95</t>
  </si>
  <si>
    <t>NISSAN ALMERA 1.4, 1.6  95-00 /228 Х 168 Х 34/</t>
  </si>
  <si>
    <t>LX1465</t>
  </si>
  <si>
    <t>LX1465     (KNECHT)</t>
  </si>
  <si>
    <t>100.83</t>
  </si>
  <si>
    <t>HYUNDAI Getz 1,0-1,6 9/02-&gt;</t>
  </si>
  <si>
    <t>LX1566</t>
  </si>
  <si>
    <t>LX1566     (KNECHT)</t>
  </si>
  <si>
    <t>263.24</t>
  </si>
  <si>
    <t>AUDI A3 1,6/2,0FSI 5/03-&gt; ,SEAT Altea 1,6/2,0FSI 3/04-&gt; ,VW Caddy III 1,6/2,0SDI 3/04-&gt; ,Golf V 1,6/</t>
  </si>
  <si>
    <t>LX1573</t>
  </si>
  <si>
    <t>LX1573     (KNECHT)</t>
  </si>
  <si>
    <t>231.85</t>
  </si>
  <si>
    <t>MERCEDES Vito 119/122 W639 mot.M112 9/03-&gt;</t>
  </si>
  <si>
    <t>LX1583</t>
  </si>
  <si>
    <t>LX1583     (KNECHT)</t>
  </si>
  <si>
    <t>OPEL Vivaro / RENAULT Trafic/Clio III/Modus/Twingo / NISSAN Primstar</t>
  </si>
  <si>
    <t>LX1686/1</t>
  </si>
  <si>
    <t>LX1686/1     (KNECHT)</t>
  </si>
  <si>
    <t>MB W204 C250CDI 08- / W212 E220-250CDI 09-</t>
  </si>
  <si>
    <t>LX1700</t>
  </si>
  <si>
    <t>LX1700     (KNECHT)</t>
  </si>
  <si>
    <t>236.07</t>
  </si>
  <si>
    <t>TOYOTA Land Cruiser 3.0D 4WD 1/03-&gt;|</t>
  </si>
  <si>
    <t>LX1706</t>
  </si>
  <si>
    <t>LX1706     (KNECHT)</t>
  </si>
  <si>
    <t>184.37</t>
  </si>
  <si>
    <t>Ford Transit 2,4D  06-\n</t>
  </si>
  <si>
    <t>LX1768</t>
  </si>
  <si>
    <t>LX1768     (KNECHT)</t>
  </si>
  <si>
    <t>HONDA CIVIC, FR-V 2.0i  04-</t>
  </si>
  <si>
    <t>LX1780/3</t>
  </si>
  <si>
    <t>LX1780/3     (KNECHT)   !!заміна для LX1780</t>
  </si>
  <si>
    <t>FORD C-Max, Kuga, Focus II,III, Volvo V40 1.0-2.0 04-</t>
  </si>
  <si>
    <t>LX1785</t>
  </si>
  <si>
    <t>LX1785     (KNECHT)</t>
  </si>
  <si>
    <t>221.17</t>
  </si>
  <si>
    <t>HYUNDAI Tucson / KIA Sportage 2.0-2.7, 2.0D, 04-10</t>
  </si>
  <si>
    <t>LX1808</t>
  </si>
  <si>
    <t>LX1808     (KNECHT)</t>
  </si>
  <si>
    <t>123.65</t>
  </si>
  <si>
    <t>RIO II 05-&gt;</t>
  </si>
  <si>
    <t>LX1827</t>
  </si>
  <si>
    <t>LX1827     (KNECHT)</t>
  </si>
  <si>
    <t>185.47</t>
  </si>
  <si>
    <t>FIAT 500 1.2 10/07-&gt;/Grande Punto 1.2/1.4 10/05-&gt;/Idea 1.4 10/05-&gt;/Linea 1.4 06/07-&gt;.LANCIA Musa 1.4 09/05-&gt;</t>
  </si>
  <si>
    <t>LX1845</t>
  </si>
  <si>
    <t>LX1845     (KNECHT)</t>
  </si>
  <si>
    <t>307.61</t>
  </si>
  <si>
    <t>MERCEDES Sprinter 06.06-&gt; VW Crafter 04.0-&gt;</t>
  </si>
  <si>
    <t>LX1850/2</t>
  </si>
  <si>
    <t xml:space="preserve">LX1850/2     (KNECHT)   !!заміна для LX1850/S </t>
  </si>
  <si>
    <t>335.25</t>
  </si>
  <si>
    <t>Mercedes (right)</t>
  </si>
  <si>
    <t>LX1883</t>
  </si>
  <si>
    <t>LX1883     (KNECHT)</t>
  </si>
  <si>
    <t>437.18</t>
  </si>
  <si>
    <t>OPEL MOVANO 2.3 CDTI  10-  /WA9670/</t>
  </si>
  <si>
    <t>LX1885</t>
  </si>
  <si>
    <t>LX1885     (KNECHT)</t>
  </si>
  <si>
    <t>243.62</t>
  </si>
  <si>
    <t>FORD Galaxy 1.8/2.0/TDCI 05/06-&gt;/ Mondeo IV 1.6-2.0/TI/TDCI 03/07-&gt;/S-Max 1.8/2.0/TDCI 05/06-&gt;</t>
  </si>
  <si>
    <t>LX1920</t>
  </si>
  <si>
    <t>LX1920     (KNECHT)   !!заміна для LX1502</t>
  </si>
  <si>
    <t>275.63</t>
  </si>
  <si>
    <t>FIAT 500 1.3 D 10/07-&gt;/ Doblo 1.3 D 10/05-&gt;/Grande Punto 1.3 D 10/05-&gt;/Linea 1.3 D 06/07-&gt;.LANCIA Musa/Ypsilon 1.3 Multijet 09/06-&gt;</t>
  </si>
  <si>
    <t>LX1921</t>
  </si>
  <si>
    <t>LX1921     (KNECHT)</t>
  </si>
  <si>
    <t>148.86</t>
  </si>
  <si>
    <t>MAZDA 2 1.3/1.5 10/07-&gt;/ 3 1.4/1.6 10/03-&gt;</t>
  </si>
  <si>
    <t>LX1945</t>
  </si>
  <si>
    <t>LX1945     (KNECHT)</t>
  </si>
  <si>
    <t>213.99</t>
  </si>
  <si>
    <t>HONDA Accord VIII 2.0/2.4 02/03-&gt;</t>
  </si>
  <si>
    <t>LX1953</t>
  </si>
  <si>
    <t>LX1953     (KNECHT)</t>
  </si>
  <si>
    <t>164.68</t>
  </si>
  <si>
    <t>RENAULT DUSTER 1.5 DCI  10-</t>
  </si>
  <si>
    <t>LX1983</t>
  </si>
  <si>
    <t>LX1983     (KNECHT)</t>
  </si>
  <si>
    <t>144.07</t>
  </si>
  <si>
    <t>Nissan QASHQAI, X-TRAIL II  (AP185/5)</t>
  </si>
  <si>
    <t>LX2010</t>
  </si>
  <si>
    <t>LX2010     (KNECHT)</t>
  </si>
  <si>
    <t>VAG 1.4i, 1.6i  05-  (OE 036129620H)</t>
  </si>
  <si>
    <t>LX2097</t>
  </si>
  <si>
    <t>LX2097     (KNECHT)</t>
  </si>
  <si>
    <t>306.36</t>
  </si>
  <si>
    <t>BMW X5 4.8i  07-  (правый, дополнение к LX2098)</t>
  </si>
  <si>
    <t>LX2098</t>
  </si>
  <si>
    <t>LX2098     (KNECHT)</t>
  </si>
  <si>
    <t>298.08</t>
  </si>
  <si>
    <t>BMW X5 4.8i  07-  (левый, дополнение к LX2097)</t>
  </si>
  <si>
    <t>LX220</t>
  </si>
  <si>
    <t>LX220     (KNECHT)   !!заміна для LX470</t>
  </si>
  <si>
    <t>196.70</t>
  </si>
  <si>
    <t>VW TRANSPORTER 1.6-2.1 -92, AUDI 100 1.8i-2.3i  -90, LADA 2110 /212 X 212 X 57/</t>
  </si>
  <si>
    <t>LX2616</t>
  </si>
  <si>
    <t>LX2616     (KNECHT)</t>
  </si>
  <si>
    <t>281.65</t>
  </si>
  <si>
    <t>MITSUBISHI LANCER X, OUTLANDER 07-</t>
  </si>
  <si>
    <t>LX2632</t>
  </si>
  <si>
    <t>LX2632     (KNECHT)</t>
  </si>
  <si>
    <t>141.13</t>
  </si>
  <si>
    <t>Mazda CX-7 2.3 MZR DISI T  06-</t>
  </si>
  <si>
    <t>LX2633</t>
  </si>
  <si>
    <t>LX2633     (KNECHT)</t>
  </si>
  <si>
    <t>287.04</t>
  </si>
  <si>
    <t>Ford Fiesta VI 08 -, B-MAX 1.0-1.6, 12 - , MAZDA 2, 1.6, 08 -</t>
  </si>
  <si>
    <t>LX2639</t>
  </si>
  <si>
    <t>LX2639     (KNECHT)</t>
  </si>
  <si>
    <t>236.99</t>
  </si>
  <si>
    <t>KIA SORENTO 2.5 CRDI, 3.3I  06-</t>
  </si>
  <si>
    <t>LX2672</t>
  </si>
  <si>
    <t>LX2672     (KNECHT)</t>
  </si>
  <si>
    <t>209.94</t>
  </si>
  <si>
    <t>SUBARU Forester III, IV  2.0-2.5 08-, 13 -, IMPREZA 1.5-2.5, 08 - , LEGACY V 03-</t>
  </si>
  <si>
    <t>LX2752</t>
  </si>
  <si>
    <t>LX2752     (KNECHT)</t>
  </si>
  <si>
    <t>224.11</t>
  </si>
  <si>
    <t>KIA \tCEE'D All  06-</t>
  </si>
  <si>
    <t>LX2792</t>
  </si>
  <si>
    <t>LX2792     (KNECHT)</t>
  </si>
  <si>
    <t>207.18</t>
  </si>
  <si>
    <t xml:space="preserve">Toyota Auris 07-,  Avensis 09-,  Corolla, Yaris 07-  </t>
  </si>
  <si>
    <t>LX2832</t>
  </si>
  <si>
    <t>LX2832     (KNECHT)</t>
  </si>
  <si>
    <t>179.58</t>
  </si>
  <si>
    <t>HYUNDAI SANTA F? 2.2CRDI, 2.7I  05-</t>
  </si>
  <si>
    <t>LX2834</t>
  </si>
  <si>
    <t>LX2834     (KNECHT)</t>
  </si>
  <si>
    <t>299.55</t>
  </si>
  <si>
    <t>Mitsubishi L200 2.5 DID 5/06- (ОЕ 1500A098)</t>
  </si>
  <si>
    <t>LX2844</t>
  </si>
  <si>
    <t>LX2844     (KNECHT)   !!заміна для LX994</t>
  </si>
  <si>
    <t>RENAULT Logan, Logan MCV, Sandero</t>
  </si>
  <si>
    <t>LX2869</t>
  </si>
  <si>
    <t>LX2869     (KNECHT)</t>
  </si>
  <si>
    <t>Hyundai ix35 2.0, 2.0CRDI| Kia Sportage 2.0, 2.0CRDI  10-  /WA9710/</t>
  </si>
  <si>
    <t>LX2882</t>
  </si>
  <si>
    <t>LX2882     (KNECHT)</t>
  </si>
  <si>
    <t>LX2890</t>
  </si>
  <si>
    <t>LX2890     (KNECHT)</t>
  </si>
  <si>
    <t>KIA CERATO 1.6 CVVT  06 -  /28113-2F800/ со скосом</t>
  </si>
  <si>
    <t>LX2995</t>
  </si>
  <si>
    <t>LX2995     (KNECHT)</t>
  </si>
  <si>
    <t>301.58</t>
  </si>
  <si>
    <t>Citroen Berlingo III, C3 II, C4, C5 II, DS3| Peugeot 207, 308, 3008,5008, 1.6HDI, 08 -</t>
  </si>
  <si>
    <t>LX307</t>
  </si>
  <si>
    <t>LX307     (KNECHT)</t>
  </si>
  <si>
    <t>106.63</t>
  </si>
  <si>
    <t>NISSAN PRIMERA,SUNNY 2.0D 90-95, PRIMERA 1.8 16V, 2.0 16V 99- /281 X 168 X 34/</t>
  </si>
  <si>
    <t>LX343</t>
  </si>
  <si>
    <t>LX343     (KNECHT)   !!заміна для LX551</t>
  </si>
  <si>
    <t>194.12</t>
  </si>
  <si>
    <t>BMW 320i 90-98, 325i 90-, 525i, 530i 00- /242 X 178 X 57.3/</t>
  </si>
  <si>
    <t>LX504</t>
  </si>
  <si>
    <t>LX504     (KNECHT)</t>
  </si>
  <si>
    <t>114.82</t>
  </si>
  <si>
    <t>MITSUBISHI CARISMA 1.6,1.8,1.8GDI 95-, SPACE STAR 1.3i 98- /342 X 169.5 X 47.3/</t>
  </si>
  <si>
    <t>LX511/1</t>
  </si>
  <si>
    <t>LX511/1     (KNECHT)   !!заміна для LX511</t>
  </si>
  <si>
    <t>295.33</t>
  </si>
  <si>
    <t>MB SPRINTER all engines 95-00 /315 X 276 X 70.3/</t>
  </si>
  <si>
    <t>LX572</t>
  </si>
  <si>
    <t>LX572     (KNECHT)   !!заміна для LX301</t>
  </si>
  <si>
    <t>FIAT SCUDO, PEUGEOT EXPERT, CITROEN JUMPY 1.6, 1.9D/TD 96- /325 X 156 X 57/</t>
  </si>
  <si>
    <t>LX622</t>
  </si>
  <si>
    <t>LX622     (KNECHT)</t>
  </si>
  <si>
    <t>147.84</t>
  </si>
  <si>
    <t>AUDI A4, VW PASSAT 1.6, 1.8, 1.8T, 2.3, 1.9TDI 96- /254 X 212,5 X 57/</t>
  </si>
  <si>
    <t>LX684</t>
  </si>
  <si>
    <t>LX684     (KNECHT)</t>
  </si>
  <si>
    <t>VW Golf, Audi A3, Skoda Octavia 1.8, 1.8T, 1.9TDI/SDI 96- /364 X 184,5 X 50.3/</t>
  </si>
  <si>
    <t>LX773</t>
  </si>
  <si>
    <t>LX773     (KNECHT)</t>
  </si>
  <si>
    <t>RENAULT LAGUNA 1.6i, 1.8i 97-, MEGANE 1.4i, 1.6i 99- /176 X 140 X 75.3/</t>
  </si>
  <si>
    <t>LX786</t>
  </si>
  <si>
    <t>LX786     (KNECHT)</t>
  </si>
  <si>
    <t>188.88</t>
  </si>
  <si>
    <t>LX792</t>
  </si>
  <si>
    <t>LX792     (KNECHT)</t>
  </si>
  <si>
    <t>205.71</t>
  </si>
  <si>
    <t>VW TOUAREG 3.2i 02-, 5.0TDI (по 2 шт.) 02- /388.9 X 185.1 X 57.3/</t>
  </si>
  <si>
    <t>LX798/1</t>
  </si>
  <si>
    <t>LX798/1     (KNECHT)   !!заміна для LX798</t>
  </si>
  <si>
    <t>159.53</t>
  </si>
  <si>
    <t>FORD FOCUS (all engines) 98-, FIESTA 1.8DI 00- /265 X 147 X 47.3/</t>
  </si>
  <si>
    <t>LX827</t>
  </si>
  <si>
    <t>LX827     (KNECHT)</t>
  </si>
  <si>
    <t>125.30</t>
  </si>
  <si>
    <t>DAEWOO LANOS 1.4-1.6 97- /208.5 X 199 X 40/</t>
  </si>
  <si>
    <t>LX864</t>
  </si>
  <si>
    <t>LX864     (KNECHT)</t>
  </si>
  <si>
    <t>218.96</t>
  </si>
  <si>
    <t>VW T5 1.9TDI, 2.5TDI, 2.0, 3.2 V6  03-  (высокоемкий по пыли)</t>
  </si>
  <si>
    <t>LX935</t>
  </si>
  <si>
    <t>LX935     (KNECHT)</t>
  </si>
  <si>
    <t>151.25</t>
  </si>
  <si>
    <t>FORD TRANSIT 2.0DI, 2.4DI 00-, 2.3i 01- /282 X 180 X 57.3/</t>
  </si>
  <si>
    <t>LX936</t>
  </si>
  <si>
    <t>LX936     (KNECHT)</t>
  </si>
  <si>
    <t>179.95</t>
  </si>
  <si>
    <t>MAZDA 626/Kombi [GF/GW] 2,0TD 10/97-&gt;| MPV [LW] 2,0/2,5 V6 DOHC 6/99-&gt;</t>
  </si>
  <si>
    <t>OC105</t>
  </si>
  <si>
    <t>OC105     (KNECHT)</t>
  </si>
  <si>
    <t>155.56</t>
  </si>
  <si>
    <t>VW LT 2.4D/TD 78-96, T4 2.4D/TD 92- /183.5 X 92 (3/4 - 16 UNF)/</t>
  </si>
  <si>
    <t>OC1051</t>
  </si>
  <si>
    <t>OC1051     (KNECHT)   !!заміна для OC244</t>
  </si>
  <si>
    <t>98.74</t>
  </si>
  <si>
    <t>FORD C-MAX, B-MAX, Focus II,III, Mondeo IV 1.4-1.6  04-, VOLVO S40 II, S60 II, 04-</t>
  </si>
  <si>
    <t>OC1063</t>
  </si>
  <si>
    <t>OC1063     (KNECHT)   !!заміна для OC466</t>
  </si>
  <si>
    <t>161.18</t>
  </si>
  <si>
    <t>FORD Fiesta VI, B-MAX, C-MAX, Focus II,III, Mondeo III, IV, MAZDA 6  1.0-2.0 ,   00-</t>
  </si>
  <si>
    <t>OC109/1</t>
  </si>
  <si>
    <t>OC109/1     (KNECHT)   !!заміна для OC109</t>
  </si>
  <si>
    <t>72.25</t>
  </si>
  <si>
    <t>NISSAN 1.4-2.0 бензин 86- (аналог W818/82)  /98 X 80 (3/4 - 16 UNF)/</t>
  </si>
  <si>
    <t>OC110</t>
  </si>
  <si>
    <t>OC110     (KNECHT)</t>
  </si>
  <si>
    <t>104.33</t>
  </si>
  <si>
    <t>MB W201 (E2.0-E2.6) 85-93, W124 (200E-300E) 86-93 /118 X 75 (3/4 - 16 UNF)/</t>
  </si>
  <si>
    <t>OC110o.F.</t>
  </si>
  <si>
    <t>OC110o.F.     (KNECHT)</t>
  </si>
  <si>
    <t>114.70</t>
  </si>
  <si>
    <t>OC121</t>
  </si>
  <si>
    <t>OC121     (KNECHT)</t>
  </si>
  <si>
    <t>RENAULT/VOLVO - trucks (FULL FLOW) /256 X 108 (1 1/8 - 16 UNF)/</t>
  </si>
  <si>
    <t>OC195</t>
  </si>
  <si>
    <t>OC195     (KNECHT)   !!заміна для OC285</t>
  </si>
  <si>
    <t>75.06</t>
  </si>
  <si>
    <t>MAZDA 323 1.6 85-93, 1.5i 94-01, 626 1.8, 2.0 -99 /65 X 65 (M20X1.5)/</t>
  </si>
  <si>
    <t>OC196</t>
  </si>
  <si>
    <t>OC196     (KNECHT)</t>
  </si>
  <si>
    <t>79.62</t>
  </si>
  <si>
    <t>MAZDA 626 1.6, 2.0 -87, MX6 2.5 24V 92-, XEDOX6 2.0 V6 94- /85 X 65 (M20X1.5)/</t>
  </si>
  <si>
    <t>OC204</t>
  </si>
  <si>
    <t>OC204     (KNECHT)</t>
  </si>
  <si>
    <t>94.58</t>
  </si>
  <si>
    <t>VOLVO trucks &amp; PKW (PKW: 2.4-2.9 бензин) 86- /92 X 79.5 (3/4 - 16 UNF)/</t>
  </si>
  <si>
    <t>OC214</t>
  </si>
  <si>
    <t>OC214     (KNECHT)</t>
  </si>
  <si>
    <t>303.57</t>
  </si>
  <si>
    <t>AUDI 100 2.4D -94, A6 2.5TDI -97, VW T4 1.9D/TD 90- /111 X 108 (3/4 - 16 UNF)/</t>
  </si>
  <si>
    <t>OC215</t>
  </si>
  <si>
    <t>OC215     (KNECHT)   !!заміна для OC182</t>
  </si>
  <si>
    <t>80.32</t>
  </si>
  <si>
    <t>SUZUKI SWIFT 1.0-1.6 89-, DAEWOO MATIZ  04- /65 X 65 (3/4 - 16 UNF)/</t>
  </si>
  <si>
    <t>OC21o.F.</t>
  </si>
  <si>
    <t>OC21o.F.     (KNECHT)</t>
  </si>
  <si>
    <t>59.45</t>
  </si>
  <si>
    <t>OPEL ASCONA,CORSA,KADETT 1.2, 1.3 -85 /78.5 X 75 (3/4 - 16 UNF)/ без упаковки</t>
  </si>
  <si>
    <t>OC222</t>
  </si>
  <si>
    <t>OC222     (KNECHT)</t>
  </si>
  <si>
    <t>108.19</t>
  </si>
  <si>
    <t>VOLVO 340, 360, 440, 460, 480 1.4-2.0 86-96 /79.5 X 92 (M20X1.5)/</t>
  </si>
  <si>
    <t>OC230</t>
  </si>
  <si>
    <t>OC230     (KNECHT)   !!заміна для OC113</t>
  </si>
  <si>
    <t>97.86</t>
  </si>
  <si>
    <t>MITSUBISHI GALANT, LANCER, L300  1.8, 2.0 87- /64 X 75 (M20X1.5)/ (MANN W815/80)</t>
  </si>
  <si>
    <t>OC232</t>
  </si>
  <si>
    <t>OC232     (KNECHT)   !!заміна для OC208</t>
  </si>
  <si>
    <t>155.91</t>
  </si>
  <si>
    <t>FORD TRANSIT 2.5D/TD/DI 83-00 /95 X 92 (M22X1.5)/</t>
  </si>
  <si>
    <t>OC236</t>
  </si>
  <si>
    <t>OC236     (KNECHT)   !!заміна для OC477</t>
  </si>
  <si>
    <t>141.88</t>
  </si>
  <si>
    <t>JEEP CHEROKEE,WRANGLER 2.5, 4.0 91- /93 X 92 (3/4 - 16 UNF)/</t>
  </si>
  <si>
    <t>OC247</t>
  </si>
  <si>
    <t>OC247     (KNECHT)</t>
  </si>
  <si>
    <t>JEEP CHEROKEE/GR. CHEROKEE 2.5TD -99 (MANN: W719/14) /118 X 75 (3/4 - 16 UNF)/</t>
  </si>
  <si>
    <t>OC248</t>
  </si>
  <si>
    <t>OC248     (KNECHT)   !!заміна для OC227</t>
  </si>
  <si>
    <t>278.50</t>
  </si>
  <si>
    <t>RENAULT/IVECO/FIAT DUCATO 2.5, 2.8 diesel eng. 82- /139.5 X 92 (3/4 - 16 UNF)/</t>
  </si>
  <si>
    <t>OC264</t>
  </si>
  <si>
    <t>OC264     (KNECHT)   !!заміна для OC154,OC240</t>
  </si>
  <si>
    <t>104.70</t>
  </si>
  <si>
    <t>VW/AUDI 1.8-2.8 бензин 91-  /118 X 75 (3/4 - 16 UNF)/ (аналог W719/30)</t>
  </si>
  <si>
    <t>OC273</t>
  </si>
  <si>
    <t>OC273     (KNECHT)</t>
  </si>
  <si>
    <t>188.97</t>
  </si>
  <si>
    <t>NISSAN PATROL 2.8TD 88-00, PRIMERA 2.0D/TD 91- /129.5 X 94 (1 - 12 UNF)/</t>
  </si>
  <si>
    <t>OC274</t>
  </si>
  <si>
    <t>OC274     (KNECHT)</t>
  </si>
  <si>
    <t>195.37</t>
  </si>
  <si>
    <t>MITSUBISHI L200,L300,L400, PAJERO 2.5D/TD 86- /125 X 102 (M26X1.5)/</t>
  </si>
  <si>
    <t>OC275</t>
  </si>
  <si>
    <t>OC275     (KNECHT)</t>
  </si>
  <si>
    <t>229.26</t>
  </si>
  <si>
    <t>TOYOTA HIACE, HILUX 2.4D/TD 89- /120 X 102 (M24X1.5)/</t>
  </si>
  <si>
    <t>OC294</t>
  </si>
  <si>
    <t>OC294     (KNECHT)</t>
  </si>
  <si>
    <t>183.26</t>
  </si>
  <si>
    <t>TOYOTA AVENSIS 2.0TD 97-, COROLLA 2.0D 02- /105 X 102 (M24X1.5)/</t>
  </si>
  <si>
    <t>OC295</t>
  </si>
  <si>
    <t>OC295     (KNECHT)   !!заміна для OC207,OC250</t>
  </si>
  <si>
    <t>88.74</t>
  </si>
  <si>
    <t>VW GOLF,VENTO,POLO,BORA,CADDY 1.4, 1.6 91- /78.5 X 75 (3/4 - 16 UNF)/</t>
  </si>
  <si>
    <t>OC297</t>
  </si>
  <si>
    <t>OC297     (KNECHT)</t>
  </si>
  <si>
    <t>337.60</t>
  </si>
  <si>
    <t>MITSUBISHI PAJERO 2.8TD 94-00 /149.5 X 102 (M26X1.5)/</t>
  </si>
  <si>
    <t>OC314</t>
  </si>
  <si>
    <t>OC314     (KNECHT)</t>
  </si>
  <si>
    <t>SKODA FABIA 1.0i 99-00, 1.4i 01- /88 X 75 (3/4 - 16 UNF)/</t>
  </si>
  <si>
    <t>OC383</t>
  </si>
  <si>
    <t>OC383     (KNECHT)   !!заміна для OC97</t>
  </si>
  <si>
    <t>71.90</t>
  </si>
  <si>
    <t>Lada 2101-2107  (MANN  W 920/21)</t>
  </si>
  <si>
    <t>OC384</t>
  </si>
  <si>
    <t>OC384     (KNECHT)   !!заміна для OC4</t>
  </si>
  <si>
    <t>69.80</t>
  </si>
  <si>
    <t>Lada 2108-21099, Ока  (MANN   W 914/2)</t>
  </si>
  <si>
    <t>OC404</t>
  </si>
  <si>
    <t>OC404     (KNECHT)</t>
  </si>
  <si>
    <t>388.06</t>
  </si>
  <si>
    <t>VW LT 2.8TDI 98-</t>
  </si>
  <si>
    <t>OC456</t>
  </si>
  <si>
    <t>OC456     (KNECHT)</t>
  </si>
  <si>
    <t>211.68</t>
  </si>
  <si>
    <t>Audi, Seat, Skoda, Volkswagen 1.8TFSI, 2.0TFSI  04-  (OP526/7)</t>
  </si>
  <si>
    <t>OC467</t>
  </si>
  <si>
    <t>OC467     (KNECHT)   !!заміна для OC309</t>
  </si>
  <si>
    <t>93.83</t>
  </si>
  <si>
    <t>OPEL Vivaro 2,0-16v/1,9DTI 8/01-&gt; ,RENAULT Clio II 1,4-2,0-16v/1,5DCI/1,9D 9/98-&gt; ,Megane I-II 1,4-2</t>
  </si>
  <si>
    <t>OC470</t>
  </si>
  <si>
    <t>OC470     (KNECHT)</t>
  </si>
  <si>
    <t>179.41</t>
  </si>
  <si>
    <t>VW PASSAT/AUDI A4/SKODA SUPERB 1,8T 96-</t>
  </si>
  <si>
    <t>OC475</t>
  </si>
  <si>
    <t>OC475     (KNECHT)</t>
  </si>
  <si>
    <t>RENAULT Clio II/Kangoo/Twingo 1.2 16V 5/96-&gt;|Nissan Kubistar 1.2 8/03-&gt;</t>
  </si>
  <si>
    <t>OC478</t>
  </si>
  <si>
    <t>OC478     (KNECHT)</t>
  </si>
  <si>
    <t>89.44</t>
  </si>
  <si>
    <t>TOYOTA 4Runner 4,0/4,7 8/02-&gt;/Land Cruiser 4,0-4,7/Lexus/Tundra</t>
  </si>
  <si>
    <t>OC479</t>
  </si>
  <si>
    <t>OC479     (KNECHT)</t>
  </si>
  <si>
    <t>125.49</t>
  </si>
  <si>
    <t>FORD Focus RS/ST170 3/02-&gt; ,MAZDA Tribute 2,0/3,0V6 3/00-&gt;</t>
  </si>
  <si>
    <t>OC47o.F.</t>
  </si>
  <si>
    <t>OC47o.F.     (KNECHT)</t>
  </si>
  <si>
    <t>71.38</t>
  </si>
  <si>
    <t>VW/AUDI -97 (аналог W719/5) /118 X 75 (3/4 - 16 UNF)/  без упаковки</t>
  </si>
  <si>
    <t>OC486</t>
  </si>
  <si>
    <t>OC486     (KNECHT)</t>
  </si>
  <si>
    <t>FIAT DUCATO/IVECO DAILY II 2.3,2.8 JTD 02-</t>
  </si>
  <si>
    <t>OC49</t>
  </si>
  <si>
    <t>OC49     (KNECHT)</t>
  </si>
  <si>
    <t>121.89</t>
  </si>
  <si>
    <t>BMW 316,318,320,520,525 (M10,M20 eng.) -91 (W719/5) /118,4 X 75 (3/4 - 16 UNF)./</t>
  </si>
  <si>
    <t>OC495</t>
  </si>
  <si>
    <t>OC495     (KNECHT)</t>
  </si>
  <si>
    <t>107.46</t>
  </si>
  <si>
    <t>MITSUBISHI Colt VI 1.1-1.5 6/04-&gt;,SMART Forfour 1.1-1.5 4/04-&gt;</t>
  </si>
  <si>
    <t>OC500</t>
  </si>
  <si>
    <t>OC500     (KNECHT)</t>
  </si>
  <si>
    <t>138.74</t>
  </si>
  <si>
    <t>SUBARU Legacy IV 3.0 09/03-&gt;</t>
  </si>
  <si>
    <t>OC51o.F.</t>
  </si>
  <si>
    <t>OC51o.F.     (KNECHT)</t>
  </si>
  <si>
    <t>102.59</t>
  </si>
  <si>
    <t>VW/AUDI/SEAT/VOLVO diesel engines (аналог W940/25) /139.5 X 92 (3/4 - 16 UNF)/</t>
  </si>
  <si>
    <t>OC526</t>
  </si>
  <si>
    <t>OC526     (KNECHT)</t>
  </si>
  <si>
    <t>128.80</t>
  </si>
  <si>
    <t>SORENTO 2.5 CRDI, 08/02 - 12/06</t>
  </si>
  <si>
    <t>OC534</t>
  </si>
  <si>
    <t>OC534     (KNECHT)   !!заміна для OC216</t>
  </si>
  <si>
    <t>87.86</t>
  </si>
  <si>
    <t>Toyota 1.0i-1.6i  03-</t>
  </si>
  <si>
    <t>OC570</t>
  </si>
  <si>
    <t>OC570     (KNECHT)   !!заміна для OC616</t>
  </si>
  <si>
    <t>260.18</t>
  </si>
  <si>
    <t>FIAT Ducato 2.3JTD 04/02-&gt;  Eng. 240405-</t>
  </si>
  <si>
    <t>OC571</t>
  </si>
  <si>
    <t>OC571     (KNECHT)</t>
  </si>
  <si>
    <t>264.78</t>
  </si>
  <si>
    <t>#Opel  ANTARA 3.2i  06-</t>
  </si>
  <si>
    <t>OC593/4</t>
  </si>
  <si>
    <t>OC593/4     (KNECHT)</t>
  </si>
  <si>
    <t>183.63</t>
  </si>
  <si>
    <t>VAG 1.2TSI, 1.4TSI  07-</t>
  </si>
  <si>
    <t>OC606</t>
  </si>
  <si>
    <t>OC606     (KNECHT)   !!заміна для OC235, 266</t>
  </si>
  <si>
    <t>95.58</t>
  </si>
  <si>
    <t>FORD ESCORT,FIESTA,FOCUS,MONDEO 1.4. - 2.0. бензин 92-  /72 X 76 (3/4 - 16 UNF)/</t>
  </si>
  <si>
    <t>OC617</t>
  </si>
  <si>
    <t>OC617     (KNECHT)</t>
  </si>
  <si>
    <t>68.08</t>
  </si>
  <si>
    <t>Honda Accord IX 2.0-2.4 I 08-/ Civic VII 1.4 I 08-</t>
  </si>
  <si>
    <t>OC727</t>
  </si>
  <si>
    <t>OC727     (KNECHT) !!заміна для OC471</t>
  </si>
  <si>
    <t>125.92</t>
  </si>
  <si>
    <t>RENAULT Kangoo/Megane II/Trafic/DUSTER/LOGAN 1.5DCi/1.9DCi  OPEL VIVARO 1.9 DTI  01-</t>
  </si>
  <si>
    <t>OC90o.F.</t>
  </si>
  <si>
    <t>OC90o.F.     (KNECHT)</t>
  </si>
  <si>
    <t>45.25</t>
  </si>
  <si>
    <t>OC976</t>
  </si>
  <si>
    <t>OC976     (KNECHT)   !!заміна для OC310</t>
  </si>
  <si>
    <t>89.27</t>
  </si>
  <si>
    <t>FIAT, PSA, TOYOTA  97-</t>
  </si>
  <si>
    <t>OC983</t>
  </si>
  <si>
    <t>OC983     (KNECHT)   !!заміна для OC66,OC296</t>
  </si>
  <si>
    <t>99.96</t>
  </si>
  <si>
    <t>Fiat Panda, Punto, Uno, Bravo, Mare</t>
  </si>
  <si>
    <t>OC986</t>
  </si>
  <si>
    <t>OC986     (KNECHT)   !!заміна для OC259</t>
  </si>
  <si>
    <t>110.03</t>
  </si>
  <si>
    <t>#Alfa Romeo, Fiat, Lancia h=86.2mm</t>
  </si>
  <si>
    <t>OC988</t>
  </si>
  <si>
    <t>OC988     (KNECHT)</t>
  </si>
  <si>
    <t>LEXUS\tGS 300, LS 400, RX 300, -03, TOYOTA   Auris 1.4D-4D 07 -, Yaris II 1.4 D-4D 06 -, HIACE IV 2.4, LAND CRUISER 3.0 D-4D 10 -</t>
  </si>
  <si>
    <t>OC99</t>
  </si>
  <si>
    <t>OC99     (KNECHT)</t>
  </si>
  <si>
    <t>131.56</t>
  </si>
  <si>
    <t>RENAULT 1.7-3.0 бензин 87- (MANN: W712/47) /87.5 X 75 (M20X1.5)/</t>
  </si>
  <si>
    <t>OX122D</t>
  </si>
  <si>
    <t>OX122D     (KNECHT)</t>
  </si>
  <si>
    <t>170.94</t>
  </si>
  <si>
    <t>AUDI A8 3.7i (AEW) 95-, 4.2i  (AEM, ABZ) 94-98, S8 (AHC) 96-99</t>
  </si>
  <si>
    <t>OX123/1DEco</t>
  </si>
  <si>
    <t>OX123/1DEco     (KNECHT)   !!заміна для OX123D</t>
  </si>
  <si>
    <t>134.51</t>
  </si>
  <si>
    <t>MB W202 (C200D-C250D) 95-00, W210 (E200D-E300D/TD) 95-99, SPRINTER, VITO 96-</t>
  </si>
  <si>
    <t>OX125</t>
  </si>
  <si>
    <t>OX125     (KNECHT)</t>
  </si>
  <si>
    <t>271.95</t>
  </si>
  <si>
    <t>VW GOLF III,PASSAT,SHARAN,VENTO,FORD GALAXY 2.8 VR6 91- (по № двиг.)</t>
  </si>
  <si>
    <t>OX127/1DEco</t>
  </si>
  <si>
    <t>OX127/1DEco     (KNECHT)   !!заміна для OX127D</t>
  </si>
  <si>
    <t>128.62</t>
  </si>
  <si>
    <t>BMW 316i 95-02, 318i 95-99, 518i 95-97 (M43 - engine) (аналог HU715/4X)</t>
  </si>
  <si>
    <t>OX133DEco</t>
  </si>
  <si>
    <t>OX133DEco     (KNECHT)   !!заміна для OX105D</t>
  </si>
  <si>
    <t>103.65</t>
  </si>
  <si>
    <t>MB W202 (C180-C280) -00, W124,W210 (E200-E320) 92-97, SPRINTER,VITO бензин 95-</t>
  </si>
  <si>
    <t>OX143DEco</t>
  </si>
  <si>
    <t>OX143DEco     (KNECHT)</t>
  </si>
  <si>
    <t>91.72</t>
  </si>
  <si>
    <t>VW/AUDI 1.9TDI 96- (аналог HU726/2X)</t>
  </si>
  <si>
    <t>OX146DEco</t>
  </si>
  <si>
    <t>OX146DEco     (KNECHT)</t>
  </si>
  <si>
    <t>197.98</t>
  </si>
  <si>
    <t>MAN trucks 96- (аналог HU1381X)</t>
  </si>
  <si>
    <t>OX149DEco</t>
  </si>
  <si>
    <t>OX149DEco     (KNECHT)</t>
  </si>
  <si>
    <t>116.10</t>
  </si>
  <si>
    <t>OX152/1DEco</t>
  </si>
  <si>
    <t>OX152/1DEco     (KNECHT)   !!заміна для OX152DEco</t>
  </si>
  <si>
    <t>197.82</t>
  </si>
  <si>
    <t>BMW 530i, 540i, 730i, 740i, 830Ci (M60, M62 - engines) 92- (пластиковая крышка)</t>
  </si>
  <si>
    <t>OX153/7D1Eco</t>
  </si>
  <si>
    <t>OX153/7D1Eco     (KNECHT)</t>
  </si>
  <si>
    <t>140.02</t>
  </si>
  <si>
    <t>HONDA Accord VIII 2,2i-CTDi 1/04-&gt;</t>
  </si>
  <si>
    <t>OX153D1Eco</t>
  </si>
  <si>
    <t>OX153D1Eco     (KNECHT)</t>
  </si>
  <si>
    <t>121.99</t>
  </si>
  <si>
    <t>OPEL ASTRA 2.0DI/DTI 98-, OMEGA 2.0DTI 97-00, 2.2DTI 00-</t>
  </si>
  <si>
    <t>OX153D3Eco</t>
  </si>
  <si>
    <t>OX153D3Eco     (KNECHT)</t>
  </si>
  <si>
    <t>116.45</t>
  </si>
  <si>
    <t>MB W202/W203 (C220CDI) 97-, W210/W211 (E220CDI) 98-, VITO 108CDI-112CDI 99-</t>
  </si>
  <si>
    <t>OX154/1DEco</t>
  </si>
  <si>
    <t>OX154/1DEco     (KNECHT)   !!заміна для OX154DEco</t>
  </si>
  <si>
    <t>141.00</t>
  </si>
  <si>
    <t>BMW 320i-328i, 520i-530i (M50,M52,M54 - engines) 95-</t>
  </si>
  <si>
    <t>OX156DEco</t>
  </si>
  <si>
    <t>OX156DEco     (KNECHT)</t>
  </si>
  <si>
    <t>163.45</t>
  </si>
  <si>
    <t>BMW 330D 99-, 530D 98-, 730D 98- (M57D30 - engines)</t>
  </si>
  <si>
    <t>OX161DEco</t>
  </si>
  <si>
    <t>OX161DEco     (KNECHT)</t>
  </si>
  <si>
    <t>143.81</t>
  </si>
  <si>
    <t>OX163/4DEco</t>
  </si>
  <si>
    <t>OX163/4DEco     (KNECHT)   !!заміна для OX163/1DEco</t>
  </si>
  <si>
    <t>139.77</t>
  </si>
  <si>
    <t>OPEL  ASTRA, CORSA, COMBO, MERIVA 1.7DI/DTI  00-</t>
  </si>
  <si>
    <t>OX164DEco</t>
  </si>
  <si>
    <t>OX164DEco     (KNECHT)</t>
  </si>
  <si>
    <t>207.82</t>
  </si>
  <si>
    <t>OX169DEco</t>
  </si>
  <si>
    <t>OX169DEco     (KNECHT)</t>
  </si>
  <si>
    <t>193.57</t>
  </si>
  <si>
    <t>MB W220 (S400CDI), W463 (G400CDI) 00-, W163 (ML400CDI) 01-, W211 (E400CDI) 03-</t>
  </si>
  <si>
    <t>OX171/2D1Eco</t>
  </si>
  <si>
    <t>OX171/2D1Eco     (KNECHT)</t>
  </si>
  <si>
    <t>178.11</t>
  </si>
  <si>
    <t>Citroen BERLINGO 1.6 HDI, C-ELYSEE 1.6 HDI Peugeot PARTNER, EXPERT 1.4-1.6 HDI 08/10 -</t>
  </si>
  <si>
    <t>OX171/2DEco</t>
  </si>
  <si>
    <t>OX171/2DEco     (KNECHT)</t>
  </si>
  <si>
    <t>OX174DEco</t>
  </si>
  <si>
    <t>OX174DEco     (KNECHT)</t>
  </si>
  <si>
    <t>173.51</t>
  </si>
  <si>
    <t>MB trucks &amp; buses (ATEGO, AXOR, CITARO) 98-</t>
  </si>
  <si>
    <t>OX177/3DEco</t>
  </si>
  <si>
    <t>OX177/3DEco     (KNECHT)</t>
  </si>
  <si>
    <t>242.54</t>
  </si>
  <si>
    <t>BMW 330D, 530D, 730D,  X5 3.0D  03-</t>
  </si>
  <si>
    <t>OX179DEco</t>
  </si>
  <si>
    <t>OX179DEco     (KNECHT)</t>
  </si>
  <si>
    <t>185.29</t>
  </si>
  <si>
    <t>MB W210 (E320CDI) 99-02, W220 (S320CDI) 00-</t>
  </si>
  <si>
    <t>OX182DEco</t>
  </si>
  <si>
    <t>OX182DEco     (KNECHT)</t>
  </si>
  <si>
    <t>100.10</t>
  </si>
  <si>
    <t>OPEL OMEGA 2.5i, 2.6i, 3.0i  99-, ASTRA,VECTRA 1.8 16V 98-</t>
  </si>
  <si>
    <t>OX188DEco</t>
  </si>
  <si>
    <t>OX188DEco     (KNECHT)</t>
  </si>
  <si>
    <t>110.84</t>
  </si>
  <si>
    <t>AUDI/VW GOLF, BORA, TRANSPORTER, SHARAN 1.9TDI, 2.8 VR6 99-</t>
  </si>
  <si>
    <t>OX191DEco</t>
  </si>
  <si>
    <t>OX191DEco     (KNECHT)</t>
  </si>
  <si>
    <t>131.53</t>
  </si>
  <si>
    <t>OX196/1D1Eco</t>
  </si>
  <si>
    <t>OX196/1D1Eco     (KNECHT)</t>
  </si>
  <si>
    <t>RANGE ROVER 3.6 TD 8</t>
  </si>
  <si>
    <t>OX196/3D</t>
  </si>
  <si>
    <t>OX196/3D     (KNECHT)  !!заміна для OX196/3DEco</t>
  </si>
  <si>
    <t>205.16</t>
  </si>
  <si>
    <t>VAG 2.7TDI - 4.2TDI  06-</t>
  </si>
  <si>
    <t>OX203DEco</t>
  </si>
  <si>
    <t>OX203DEco     (KNECHT)</t>
  </si>
  <si>
    <t>103.82</t>
  </si>
  <si>
    <t>FORD MONDEO 1.8i, 2.0i 11/00-</t>
  </si>
  <si>
    <t>OX210DEco</t>
  </si>
  <si>
    <t>OX210DEco     (KNECHT)</t>
  </si>
  <si>
    <t>179.76</t>
  </si>
  <si>
    <t>RENAULT ESPACE, LAGUNA, MASTER 2.2DCI, OPEL MOVANO 2.2DTI  00-</t>
  </si>
  <si>
    <t>OX258DEco</t>
  </si>
  <si>
    <t>OX258DEco     (KNECHT)   !!заміна для OX258Eco</t>
  </si>
  <si>
    <t>119.78</t>
  </si>
  <si>
    <t>OX339/2DEco</t>
  </si>
  <si>
    <t>OX339/2DEco     (KNECHT)</t>
  </si>
  <si>
    <t>FORD Focus II 2.0TDCi, PEUGEOT 307/407 2.0, VOLVO S40/V50 2.0D</t>
  </si>
  <si>
    <t>OX341DEco</t>
  </si>
  <si>
    <t>OX341DEco     (KNECHT)</t>
  </si>
  <si>
    <t>176.46</t>
  </si>
  <si>
    <t>AUDI A3 1.6FSI 8/03-&gt;, VW Golf V/Plus 1.4FSI/TSI/1.6FSI/TSI 10/03-&gt;/Passat/Polo/Touran/Eos</t>
  </si>
  <si>
    <t>OX346DEco</t>
  </si>
  <si>
    <t>OX346DEco     (KNECHT)   !!заміна для OX141/1DEco</t>
  </si>
  <si>
    <t>71.76</t>
  </si>
  <si>
    <t>SMART 0.6-0.8 (=OX141/1D)</t>
  </si>
  <si>
    <t>OX350/4DEco</t>
  </si>
  <si>
    <t>OX350/4DEco     (KNECHT)   !!заміна для OX350DEco</t>
  </si>
  <si>
    <t>377.94</t>
  </si>
  <si>
    <t>VAG 4.2 FSI  07-</t>
  </si>
  <si>
    <t>OX351DEco</t>
  </si>
  <si>
    <t>OX351DEco     (KNECHT)</t>
  </si>
  <si>
    <t>153.27</t>
  </si>
  <si>
    <t>HYUNDAI/KIA  CRDI 1.4-1.6  06-</t>
  </si>
  <si>
    <t>OX359DEco</t>
  </si>
  <si>
    <t>OX359DEco     (KNECHT)</t>
  </si>
  <si>
    <t>407.57</t>
  </si>
  <si>
    <t>DAF 95, CF75, CF85,  01-</t>
  </si>
  <si>
    <t>OX360DEco</t>
  </si>
  <si>
    <t>OX360DEco     (KNECHT)</t>
  </si>
  <si>
    <t>144.81</t>
  </si>
  <si>
    <t>SKODA Fabia 03-&gt; SEAT Cordoba/Ibiza 02-&gt; VW Polo 02-&gt;</t>
  </si>
  <si>
    <t>OX371DEco</t>
  </si>
  <si>
    <t>OX371DEco     (KNECHT)</t>
  </si>
  <si>
    <t>157.69</t>
  </si>
  <si>
    <t>FIAT Grande Punto/Punto/Doblo, OPEL Astra/Corsa/Agila 1,3JTD 03 -(Filtrauto filtration system)</t>
  </si>
  <si>
    <t>OX377DEco</t>
  </si>
  <si>
    <t>OX377DEco     (KNECHT)</t>
  </si>
  <si>
    <t>Hyundai, KIA 2.0CRDI, 2.2CRDI  08-</t>
  </si>
  <si>
    <t>OX379DEco</t>
  </si>
  <si>
    <t>OX379DEco     (KNECHT)</t>
  </si>
  <si>
    <t>190.63</t>
  </si>
  <si>
    <t>AUDI A3/A4 /A6/TT 2.0FSI/TFSI 05/03-&gt;, VW Golf V/Passat/Touran/Eos 2.0/FSI 10/03-&gt;, SKODA Octavia</t>
  </si>
  <si>
    <t>OX380DEco</t>
  </si>
  <si>
    <t>OX380DEco     (KNECHT)</t>
  </si>
  <si>
    <t>166.61</t>
  </si>
  <si>
    <t>MB 280CDI, 320CDI, VIANO, SPRINTER CDI  05-</t>
  </si>
  <si>
    <t>OX383DEco</t>
  </si>
  <si>
    <t>OX383DEco     (KNECHT)</t>
  </si>
  <si>
    <t>202.95</t>
  </si>
  <si>
    <t>MERCEDES W220/W221/C215/C216/R230 S600/65 AMG 09/02-&gt;</t>
  </si>
  <si>
    <t>OX387DEco</t>
  </si>
  <si>
    <t>OX387DEco     (KNECHT)</t>
  </si>
  <si>
    <t>147.38</t>
  </si>
  <si>
    <t>BMW E81/E87/E90/E91/E92/E93/E60/E61/E63/E65/E66/E83/E70 2.0-3.0 09/04-&gt;</t>
  </si>
  <si>
    <t>OX388DEco</t>
  </si>
  <si>
    <t>OX388DEco     (KNECHT)</t>
  </si>
  <si>
    <t>114.08</t>
  </si>
  <si>
    <t xml:space="preserve">VAG TDI  07- </t>
  </si>
  <si>
    <t>OX389/1DEco</t>
  </si>
  <si>
    <t>OX389/1DEco     (KNECHT)</t>
  </si>
  <si>
    <t>208.10</t>
  </si>
  <si>
    <t>RENAULT Megane III 1.6 DCI 11 -, Master III 2.3 DCI 02/10 -, OPEL Movano-B 2.3 CDTI, 10-</t>
  </si>
  <si>
    <t>OX38D</t>
  </si>
  <si>
    <t>OX38D     (KNECHT)</t>
  </si>
  <si>
    <t>MB W201 (2.0D, 2.5D/TD) -93, W124 (200D - 300D/TD) -95, 208D-508D 88-96</t>
  </si>
  <si>
    <t>OX414D1Eco</t>
  </si>
  <si>
    <t>OX414D1Eco     (KNECHT)</t>
  </si>
  <si>
    <t>Lexus RX 300-350 / Toyota RAV 4 III 3.5 I 05-</t>
  </si>
  <si>
    <t>OX415DEco</t>
  </si>
  <si>
    <t>OX415DEco     (KNECHT)</t>
  </si>
  <si>
    <t>159.90</t>
  </si>
  <si>
    <t>Nissan Patrol, Terrano II 3.0DI, Opel Movano II 3.0, Renault Master III 3.0dCI</t>
  </si>
  <si>
    <t>OX416D2Eco</t>
  </si>
  <si>
    <t>OX416D2Eco     (KNECHT)</t>
  </si>
  <si>
    <t>71.94</t>
  </si>
  <si>
    <t>Toyota AURIS 1.6,  YARIS II 1.33 VVT-I \t09-</t>
  </si>
  <si>
    <t>OX418DEco</t>
  </si>
  <si>
    <t>OX418DEco     (KNECHT)</t>
  </si>
  <si>
    <t>157.87</t>
  </si>
  <si>
    <t>OPEL 1.3 CDTI-eng.  03-, FIAT DOBLO 1.3D/JTD  04-  (UFI filtration system)  /OE682/</t>
  </si>
  <si>
    <t>OX425DEco</t>
  </si>
  <si>
    <t>OX425DEco     (KNECHT)</t>
  </si>
  <si>
    <t>276.00</t>
  </si>
  <si>
    <t>M.A.N. Serie TG-A 2/04-&gt;</t>
  </si>
  <si>
    <t>OX436DEco</t>
  </si>
  <si>
    <t>OX436DEco     (KNECHT)</t>
  </si>
  <si>
    <t>Hyundai/Kia 2.0CDI, 2.2CRDI</t>
  </si>
  <si>
    <t>OX441DEco</t>
  </si>
  <si>
    <t>OX441DEco     (KNECHT)</t>
  </si>
  <si>
    <t>195.02</t>
  </si>
  <si>
    <t>NISSAN, OPEL, RENAULT 2.0DCi, 2.5DCi  05-</t>
  </si>
  <si>
    <t>OX636DEco</t>
  </si>
  <si>
    <t>OX636DEco     (KNECHT)</t>
  </si>
  <si>
    <t>208.66</t>
  </si>
  <si>
    <t>BMW 540i, 740i, 760i,  05-</t>
  </si>
  <si>
    <t>OX68D</t>
  </si>
  <si>
    <t>OX68D     (KNECHT)</t>
  </si>
  <si>
    <t>126.45</t>
  </si>
  <si>
    <t>BMW 320i, 325i -93, 520i, 525i  -91 (M20 - engines)</t>
  </si>
  <si>
    <t>OX69D</t>
  </si>
  <si>
    <t>OX69D     (KNECHT)   !!заміна для OX69</t>
  </si>
  <si>
    <t>238.83</t>
  </si>
  <si>
    <t>MB/MAN trucks &amp; buses (аналог W12110/2X)</t>
  </si>
  <si>
    <t>OZ5D</t>
  </si>
  <si>
    <t>OZ5D     (KNECHT)   !!заміна для OZ5</t>
  </si>
  <si>
    <t>300.10</t>
  </si>
  <si>
    <t>DAF - trucks  97-</t>
  </si>
  <si>
    <t>MAHLE</t>
  </si>
  <si>
    <t>HX15</t>
  </si>
  <si>
    <t>HX15     (MAHLE)</t>
  </si>
  <si>
    <t>88.87</t>
  </si>
  <si>
    <t>Mahle</t>
  </si>
  <si>
    <t>MB/RENAULT/MAN/SCANIA/VOLVO - trucks (аналог H601/4) гидрофильтр</t>
  </si>
  <si>
    <t>KC102     (MAHLE)  !!заміна для KC66/1,KC74</t>
  </si>
  <si>
    <t>KC116</t>
  </si>
  <si>
    <t>KC116     (MAHLE)</t>
  </si>
  <si>
    <t>386.88</t>
  </si>
  <si>
    <t>TRANSIT 2.0-2.4D 00-&gt;</t>
  </si>
  <si>
    <t>KC140     (MAHLE)</t>
  </si>
  <si>
    <t>KC182     (MAHLE)</t>
  </si>
  <si>
    <t>KC191     (MAHLE)</t>
  </si>
  <si>
    <t>KC22</t>
  </si>
  <si>
    <t>KC22     (MAHLE)</t>
  </si>
  <si>
    <t>MB W123 (OM616), 207D/209D,307D/309D,407D (OM616, OM617)  /94 X 80 (M14X1.5)/</t>
  </si>
  <si>
    <t>KC24     (MAHLE)</t>
  </si>
  <si>
    <t>KC46     (MAHLE)</t>
  </si>
  <si>
    <t>KC5     (MAHLE)</t>
  </si>
  <si>
    <t>KC83D</t>
  </si>
  <si>
    <t>KC83D     (MAHLE)</t>
  </si>
  <si>
    <t>MAZDA 3, 5, CX-5    2.0, 2.2  MZR-CD 06 - 13, MITSUBISHI PAJERO 3.2 DID 09/06 - L 200 2.5 DI-D 10/07 -</t>
  </si>
  <si>
    <t>KL100/2     (MAHLE)</t>
  </si>
  <si>
    <t>KL147D     (MAHLE)   !!заміна для KL147</t>
  </si>
  <si>
    <t>KL156/3     (MAHLE)</t>
  </si>
  <si>
    <t>KL174     (MAHLE)</t>
  </si>
  <si>
    <t>KL195     (MAHLE)</t>
  </si>
  <si>
    <t>KL228/2D     (MAHLE)</t>
  </si>
  <si>
    <t>KL229/2     (MAHLE)</t>
  </si>
  <si>
    <t>KL229/4     (MAHLE)   !!заміна для KL229/3</t>
  </si>
  <si>
    <t>KL28</t>
  </si>
  <si>
    <t>KL28     (MAHLE)</t>
  </si>
  <si>
    <t>252.82</t>
  </si>
  <si>
    <t>AUDI 80 1.6, 1.8 -91,  A6 2.0 16V 94-97, SEAT TOLEDO 1.8 16V 91-99</t>
  </si>
  <si>
    <t>KL36     (MAHLE)</t>
  </si>
  <si>
    <t>KL41</t>
  </si>
  <si>
    <t>KL41     (MAHLE)</t>
  </si>
  <si>
    <t>239.74</t>
  </si>
  <si>
    <t>VW GOLF,JETTA 1.6D/TD -91, TRANSPORTER 1.6TD -92, LT 2.4D/TD -92</t>
  </si>
  <si>
    <t>KL416/1</t>
  </si>
  <si>
    <t>KL416/1     (MAHLE)   !!заміна для KL72</t>
  </si>
  <si>
    <t>203.69</t>
  </si>
  <si>
    <t>Dacia, Nissan, Renault  06-</t>
  </si>
  <si>
    <t>KL430</t>
  </si>
  <si>
    <t>KL430     (MAHLE)   !!заміна для KL631</t>
  </si>
  <si>
    <t>461.06</t>
  </si>
  <si>
    <t>NISSAN/RENAULT 1.5DCI 02-&gt;</t>
  </si>
  <si>
    <t>KL470     (MAHLE)</t>
  </si>
  <si>
    <t>KL567     (MAHLE)</t>
  </si>
  <si>
    <t>KL573     (MAHLE)</t>
  </si>
  <si>
    <t>KL596     (MAHLE)</t>
  </si>
  <si>
    <t>KL638</t>
  </si>
  <si>
    <t>KL638     (MAHLE)</t>
  </si>
  <si>
    <t>511.22</t>
  </si>
  <si>
    <t>RENAULT 1.5DCi, 2.0DCi, 3.0DCi  06-  / H431WK /</t>
  </si>
  <si>
    <t>KL707</t>
  </si>
  <si>
    <t>KL707     (MAHLE)</t>
  </si>
  <si>
    <t>1376.87</t>
  </si>
  <si>
    <t>IVECO 06-</t>
  </si>
  <si>
    <t>KL75     (MAHLE)   !!заміна для KL55</t>
  </si>
  <si>
    <t>KL781</t>
  </si>
  <si>
    <t>KL781     (MAHLE)</t>
  </si>
  <si>
    <t>584.02</t>
  </si>
  <si>
    <t xml:space="preserve">RENAULT/DACIA  Duster  1.5DCi  10- </t>
  </si>
  <si>
    <t>KL79</t>
  </si>
  <si>
    <t>KL79     (MAHLE)</t>
  </si>
  <si>
    <t>154.68</t>
  </si>
  <si>
    <t>VW/AUDI 1.6 - 3.0  бензин 97- (аналог WK730/1)</t>
  </si>
  <si>
    <t>KL83     (MAHLE)</t>
  </si>
  <si>
    <t>KL96     (MAHLE)</t>
  </si>
  <si>
    <t>KX178DEco     (MAHLE)</t>
  </si>
  <si>
    <t>KX181DEco     (MAHLE)</t>
  </si>
  <si>
    <t>DAF  LKW  99-\n</t>
  </si>
  <si>
    <t>KX182DEco</t>
  </si>
  <si>
    <t>KX182DEco     (MAHLE)</t>
  </si>
  <si>
    <t>289.98</t>
  </si>
  <si>
    <t>Scania Seria P, R, T 6/04--&gt;</t>
  </si>
  <si>
    <t>KX191/1DEco     (MAHLE)</t>
  </si>
  <si>
    <t>KX192D</t>
  </si>
  <si>
    <t>KX192D     (MAHLE)   !!заміна для KX192</t>
  </si>
  <si>
    <t>840.75</t>
  </si>
  <si>
    <t>VW Touareg 3.0 V6 TDI 11/04-&gt;/AUDI Q7 3.0TDI quattro 03/06-&gt;</t>
  </si>
  <si>
    <t>KX204D     (MAHLE)</t>
  </si>
  <si>
    <t>KX208DEco     (MAHLE)</t>
  </si>
  <si>
    <t>Opel CDTi-eng. All  03-, CITROEN Jumper 2.2HDI, 3.0HDI  06-, CHEVROLET Captiva, Epica, Lacetti 2.0D  06-</t>
  </si>
  <si>
    <t>KX220DEco     (MAHLE)</t>
  </si>
  <si>
    <t>KX228DEco</t>
  </si>
  <si>
    <t>KX228DEco     (MAHLE)</t>
  </si>
  <si>
    <t>430.38</t>
  </si>
  <si>
    <t>VAG A3/ EOS/ GolF V/ JETTA III/ TOURAN/ Octavia 1.9TDI/ 2.0TDI 02/ 03-&gt; 1K0127434B/ 1K0127177B</t>
  </si>
  <si>
    <t>KX338/26D</t>
  </si>
  <si>
    <t>KX338/26D     (MAHLE)</t>
  </si>
  <si>
    <t>278.02</t>
  </si>
  <si>
    <t>Dacia, Renault DUSTER 1.5 DCI 10 -, SANDERO II, LODGY 1.5 DCI 12 -</t>
  </si>
  <si>
    <t>KX68DEco</t>
  </si>
  <si>
    <t>KX68DEco     (MAHLE)   !!заміна для KX49D</t>
  </si>
  <si>
    <t>MB - trucks diesel engines</t>
  </si>
  <si>
    <t>KX70DEco     (MAHLE)</t>
  </si>
  <si>
    <t>KX73/1DEco     (MAHLE)</t>
  </si>
  <si>
    <t>KX78D</t>
  </si>
  <si>
    <t>KX78D     (MAHLE)</t>
  </si>
  <si>
    <t>170.64</t>
  </si>
  <si>
    <t>OPEL Astra F,G,H,  Omega B, Vectra B,C,  Zafira A  1.7- 3.0DTI  96-</t>
  </si>
  <si>
    <t>KX79D</t>
  </si>
  <si>
    <t>KX79D     (MAHLE)</t>
  </si>
  <si>
    <t>165.42</t>
  </si>
  <si>
    <t>RENAULT MEGANE, LAGUNA, KANGOO 1.9D/DTI/DCI  97- (PURFLUX-SYSTEM)</t>
  </si>
  <si>
    <t>KX80DEco     (MAHLE)</t>
  </si>
  <si>
    <t>KX84DEco     (MAHLE)</t>
  </si>
  <si>
    <t>KX85DEco     (MAHLE)</t>
  </si>
  <si>
    <t>LA119     (MAHLE)</t>
  </si>
  <si>
    <t>LA120</t>
  </si>
  <si>
    <t>LA120     (MAHLE)</t>
  </si>
  <si>
    <t>168.36</t>
  </si>
  <si>
    <t>AUDI A2 00-, SKODA FABIA 99- /252 X 216 X 32/</t>
  </si>
  <si>
    <t>LA144     (MAHLE)</t>
  </si>
  <si>
    <t>LA157     (MAHLE)</t>
  </si>
  <si>
    <t>LA158     (MAHLE)   !!заміна для LA443</t>
  </si>
  <si>
    <t>LA182     (MAHLE)</t>
  </si>
  <si>
    <t>LA229     (MAHLE)</t>
  </si>
  <si>
    <t>LA296/S     (MAHLE)</t>
  </si>
  <si>
    <t>CARISMA, PAJERO (K90) 98-08,  ЦЕНА ЗА КМП(2ШТ)\n</t>
  </si>
  <si>
    <t>LA298     (MAHLE)</t>
  </si>
  <si>
    <t>LA301     (MAHLE)</t>
  </si>
  <si>
    <t>LA307     (MAHLE)</t>
  </si>
  <si>
    <t>LA31     (MAHLE)   !!заміна для LA13</t>
  </si>
  <si>
    <t>LA343</t>
  </si>
  <si>
    <t>LA343     (MAHLE)</t>
  </si>
  <si>
    <t>196.88</t>
  </si>
  <si>
    <t>LA382     (MAHLE)</t>
  </si>
  <si>
    <t>LA395     (MAHLE)</t>
  </si>
  <si>
    <t>LA396     (MAHLE)</t>
  </si>
  <si>
    <t>LA424</t>
  </si>
  <si>
    <t>LA424     (MAHLE)</t>
  </si>
  <si>
    <t>264.04</t>
  </si>
  <si>
    <t>MITSUBISHI ASX, Outlander II, III,  07- Peugeot 4007, 4008  07- , Citroen C4 Aircross 07-</t>
  </si>
  <si>
    <t>LA65</t>
  </si>
  <si>
    <t>LA65     (MAHLE)</t>
  </si>
  <si>
    <t>VW TRANSPORTER 94-</t>
  </si>
  <si>
    <t>LAK181     (MAHLE)</t>
  </si>
  <si>
    <t>LAK182     (MAHLE)</t>
  </si>
  <si>
    <t>LAK221/S     (MAHLE)</t>
  </si>
  <si>
    <t>LAK229</t>
  </si>
  <si>
    <t>LAK229     (MAHLE)</t>
  </si>
  <si>
    <t>355.86</t>
  </si>
  <si>
    <t>MERCEDES Vito 2.2CDI/3.2 09/03-&gt;, Viano 3.2/3.7/2.2CDI 09/03-&gt;</t>
  </si>
  <si>
    <t>LAK31</t>
  </si>
  <si>
    <t>LAK31     (MAHLE)</t>
  </si>
  <si>
    <t>LX1024</t>
  </si>
  <si>
    <t>LX1024     (MAHLE)</t>
  </si>
  <si>
    <t>800.03</t>
  </si>
  <si>
    <t>MAN TGA, TGS, TGX  00-</t>
  </si>
  <si>
    <t>LX1030     (MAHLE)</t>
  </si>
  <si>
    <t>LX1076</t>
  </si>
  <si>
    <t>LX1076     (MAHLE)</t>
  </si>
  <si>
    <t>146.83</t>
  </si>
  <si>
    <t>MITSUBISHI COLT 1.3i 05/96-, LANCER 1.3i, 1.6i 96-</t>
  </si>
  <si>
    <t>LX1211     (MAHLE)</t>
  </si>
  <si>
    <t>LX1258     (MAHLE)</t>
  </si>
  <si>
    <t>LX1268</t>
  </si>
  <si>
    <t>LX1268     (MAHLE)</t>
  </si>
  <si>
    <t>230.18</t>
  </si>
  <si>
    <t>FORD FIESTA 1.3, 1.4 16V, 1.6 16V  01-</t>
  </si>
  <si>
    <t>LX1286     (MAHLE)</t>
  </si>
  <si>
    <t>LX1482</t>
  </si>
  <si>
    <t>LX1482     (MAHLE)</t>
  </si>
  <si>
    <t>281.52</t>
  </si>
  <si>
    <t>AUDI A3, SEAT Altea, Leon 1.8-2.0TDI 04-, SKODA Octavia 1.8-2.0 TDI 04-, VW Caddy III, Golf V, Jetta III 1.4-2.0TDI 05-, Passat 1.9-2.0 TDI 05- (для запилених умов)</t>
  </si>
  <si>
    <t>LX1566     (MAHLE)</t>
  </si>
  <si>
    <t>LX1573     (MAHLE)</t>
  </si>
  <si>
    <t>LX1583     (MAHLE)</t>
  </si>
  <si>
    <t>LX1586</t>
  </si>
  <si>
    <t>LX1586     (MAHLE)</t>
  </si>
  <si>
    <t>195.96</t>
  </si>
  <si>
    <t>Ford Transit 2.2TDCI 06--&gt;  /AP023/4/</t>
  </si>
  <si>
    <t>LX1656</t>
  </si>
  <si>
    <t>LX1656     (MAHLE)</t>
  </si>
  <si>
    <t>327.89</t>
  </si>
  <si>
    <t>OPEL Movano 2.2CDTi/2.5CDTi 03-&gt;, RENAULT Master 2.2DCi/2.5DCi 03-&gt;</t>
  </si>
  <si>
    <t>LX1700     (MAHLE)</t>
  </si>
  <si>
    <t>LX1768     (MAHLE)</t>
  </si>
  <si>
    <t>LX1785     (MAHLE)</t>
  </si>
  <si>
    <t>LX1808     (MAHLE)</t>
  </si>
  <si>
    <t>LX1845     (MAHLE)</t>
  </si>
  <si>
    <t>LX1850/1</t>
  </si>
  <si>
    <t>LX1850/1     (MAHLE)   !!заміна для LX1850/S</t>
  </si>
  <si>
    <t>345.18</t>
  </si>
  <si>
    <t xml:space="preserve"> Mercedes C, E, M-class,  05-   (left)</t>
  </si>
  <si>
    <t>LX1883     (MAHLE)</t>
  </si>
  <si>
    <t>LX1885     (MAHLE)</t>
  </si>
  <si>
    <t>LX1915</t>
  </si>
  <si>
    <t>LX1915     (MAHLE)</t>
  </si>
  <si>
    <t>145.54</t>
  </si>
  <si>
    <t>CHEVROLET Aveo 1.2/1.4 03/06-&gt;/Kalos 1.2/1.4/16V 03/05-&gt;.DAEWOO Kalos 1.2/1.4/16V 09/02-&gt;</t>
  </si>
  <si>
    <t>LX1921     (MAHLE)</t>
  </si>
  <si>
    <t>LX1945     (MAHLE)</t>
  </si>
  <si>
    <t>LX1953     (MAHLE)</t>
  </si>
  <si>
    <t>LX1983     (MAHLE)</t>
  </si>
  <si>
    <t>LX2010     (MAHLE)</t>
  </si>
  <si>
    <t>LX208</t>
  </si>
  <si>
    <t>LX208     (MAHLE)</t>
  </si>
  <si>
    <t>154.38</t>
  </si>
  <si>
    <t>LX220     (MAHLE)   !!заміна для LX470</t>
  </si>
  <si>
    <t>LX2632     (MAHLE)</t>
  </si>
  <si>
    <t>LX266</t>
  </si>
  <si>
    <t>LX266     (MAHLE)</t>
  </si>
  <si>
    <t>104.14</t>
  </si>
  <si>
    <t>VW GOLF II, JETTA II 1.6, 1.8 83-91 /200 X 94 X 50/</t>
  </si>
  <si>
    <t>LX2672     (MAHLE)</t>
  </si>
  <si>
    <t>LX2679</t>
  </si>
  <si>
    <t>LX2679     (MAHLE)</t>
  </si>
  <si>
    <t>155.30</t>
  </si>
  <si>
    <t>Daewoo Lacetti/ Nubira 1, 4…1, 8L 04-&gt;</t>
  </si>
  <si>
    <t>LX2792     (MAHLE)</t>
  </si>
  <si>
    <t>LX2834     (MAHLE)</t>
  </si>
  <si>
    <t>LX2882     (MAHLE)</t>
  </si>
  <si>
    <t>LX2890     (MAHLE)</t>
  </si>
  <si>
    <t>LX296</t>
  </si>
  <si>
    <t>LX296     (MAHLE)</t>
  </si>
  <si>
    <t>167.26</t>
  </si>
  <si>
    <t>AUDI 100 2.0, 2.3, 2.8 91-94, A6 1.8-2.8 94-97  /308 X 184 X 57.3/</t>
  </si>
  <si>
    <t>LX307     (MAHLE)</t>
  </si>
  <si>
    <t>LX3525</t>
  </si>
  <si>
    <t>LX3525     (MAHLE)</t>
  </si>
  <si>
    <t>254.84</t>
  </si>
  <si>
    <t>Audi, VW 1.2 -1.4 TFSI 02/13 - /E1105L/</t>
  </si>
  <si>
    <t>LX405</t>
  </si>
  <si>
    <t>LX405     (MAHLE)</t>
  </si>
  <si>
    <t>165.97</t>
  </si>
  <si>
    <t>VW GOLF III, VENTO 91-98 /267.5 X 228 X 57.1/</t>
  </si>
  <si>
    <t>LX504     (MAHLE)</t>
  </si>
  <si>
    <t>LX511/1     (MAHLE)   !!заміна для LX511</t>
  </si>
  <si>
    <t>LX54</t>
  </si>
  <si>
    <t>LX54     (MAHLE)   !!заміна для LX111</t>
  </si>
  <si>
    <t>124.75</t>
  </si>
  <si>
    <t>VW/AUDI 1.6D/TD -91, AUDI 80  2.0 16V, 2.3E -96 /336.5 X 135.5 X 56.9/</t>
  </si>
  <si>
    <t>LX542</t>
  </si>
  <si>
    <t>LX542     (MAHLE)</t>
  </si>
  <si>
    <t>MAZDA 626 1.8i 91-99, 2.0 91-, MX 6 92-, MX 5 98- /258.5 X 164 X 40/</t>
  </si>
  <si>
    <t>LX572     (MAHLE)   !!заміна для LX301</t>
  </si>
  <si>
    <t>LX684     (MAHLE)</t>
  </si>
  <si>
    <t>VW GOLF, AUDI A3, SKODA OCTAVIA 1.8, 1.8T, 1.9TDI/SDI 96- /364 X 184,5 X 50.3/</t>
  </si>
  <si>
    <t>LX704/1</t>
  </si>
  <si>
    <t>LX704/1     (MAHLE)   !!заміна для LX704</t>
  </si>
  <si>
    <t>209.22</t>
  </si>
  <si>
    <t>OPEL Movano/Vivaro 1.9TD 8/01-&gt;| RENAULT</t>
  </si>
  <si>
    <t>LX735</t>
  </si>
  <si>
    <t>LX735     (MAHLE)</t>
  </si>
  <si>
    <t>OPEL ASTRA (all engines) 98-, ZAFIRA (all engines) 99- /294 X 234.5 X 42.3/</t>
  </si>
  <si>
    <t>LX798/1     (MAHLE)   !!заміна для LX798</t>
  </si>
  <si>
    <t>LX804/S</t>
  </si>
  <si>
    <t>LX804/S     (MAHLE)</t>
  </si>
  <si>
    <t>621.70</t>
  </si>
  <si>
    <t>MB W220 (S280, S320, S430, S500) 98- ЦЕНА ЗА КМП(2ШТ) /355 X 134.5 X 50.3/</t>
  </si>
  <si>
    <t>LX818</t>
  </si>
  <si>
    <t>LX818     (MAHLE)</t>
  </si>
  <si>
    <t>501.40</t>
  </si>
  <si>
    <t>BMW E46/E39/E60/E38/E65 330d/530d/730d</t>
  </si>
  <si>
    <t>LX864     (MAHLE)</t>
  </si>
  <si>
    <t>LX977D</t>
  </si>
  <si>
    <t>LX977D     (MAHLE)   !!заміна для LX977</t>
  </si>
  <si>
    <t>247.30</t>
  </si>
  <si>
    <t>SKODA FABIA 1.4i 16V 99-, VW GOLF,BORA 1.6I 16V 00- /288 X 189 X 42/</t>
  </si>
  <si>
    <t>OC100</t>
  </si>
  <si>
    <t>OC100     (MAHLE)</t>
  </si>
  <si>
    <t>112.59</t>
  </si>
  <si>
    <t>FIAT DUCATO 2.0 -94, PEUGEOT BOXER 1.9D 96- (W712/8) /87.5 X 75 (M20X1.5)/</t>
  </si>
  <si>
    <t>OC105     (MAHLE)</t>
  </si>
  <si>
    <t>OC1063     (MAHLE)   !!заміна для OC466</t>
  </si>
  <si>
    <t>OC109/1     (MAHLE)   !!заміна для OC109</t>
  </si>
  <si>
    <t>OC110     (MAHLE)</t>
  </si>
  <si>
    <t>OC110o.F.     (MAHLE)</t>
  </si>
  <si>
    <t>OC115</t>
  </si>
  <si>
    <t>OC115     (MAHLE)</t>
  </si>
  <si>
    <t>105.75</t>
  </si>
  <si>
    <t>HONDA 1.5-2.0 бензин 85-, OPEL VECTRA 1.7TD 90-95 /92 X 75 (M20X1.5)/ (W814/80)</t>
  </si>
  <si>
    <t>OC121     (MAHLE)</t>
  </si>
  <si>
    <t>OC194</t>
  </si>
  <si>
    <t>OC194     (MAHLE)</t>
  </si>
  <si>
    <t>138.55</t>
  </si>
  <si>
    <t>NISSAN MAXIMA 2.0, 3.0 95-, KIA SPORTAGE 2.0 16V 94- /85 X 65 (M20X1.5)/</t>
  </si>
  <si>
    <t>OC196     (MAHLE)</t>
  </si>
  <si>
    <t>OC205</t>
  </si>
  <si>
    <t>OC205     (MAHLE)   !!заміна для OC152</t>
  </si>
  <si>
    <t>88.56</t>
  </si>
  <si>
    <t>MAZDA E2000,E2200, ISUZU MIDI 2.2D 89-, HYUNDAI 1.5-2.5 90- /72 X 75 (M20X1.5)/</t>
  </si>
  <si>
    <t>OC214     (MAHLE)</t>
  </si>
  <si>
    <t>OC215     (MAHLE)   !!заміна для OC182</t>
  </si>
  <si>
    <t>SUZUKI SWIFT 1.0-1.6 89-, DAEWOO MATIZ  04-  /65 X 65 (3/4 - 16 UNF)/</t>
  </si>
  <si>
    <t>OC217</t>
  </si>
  <si>
    <t>OC217     (MAHLE)   !!заміна для OC183</t>
  </si>
  <si>
    <t>87.51</t>
  </si>
  <si>
    <t>TOYOTA COROLLA 1.6GTI 87-93, 1.4i, 1.6i 01-,  /85 X 65 (3/4 - 16 UNF)/</t>
  </si>
  <si>
    <t>OC218</t>
  </si>
  <si>
    <t>OC218     (MAHLE)</t>
  </si>
  <si>
    <t>86.11</t>
  </si>
  <si>
    <t>NISSAN MICRA 1.0i, 1.3i, 92-, PRIMERA, SUNNY 2.0i -95  /85 X 65 (3/4 - 16 UNF)/</t>
  </si>
  <si>
    <t>OC21o.F.     (MAHLE)</t>
  </si>
  <si>
    <t>OC222     (MAHLE)</t>
  </si>
  <si>
    <t>OC230     (MAHLE)   !!заміна для OC113</t>
  </si>
  <si>
    <t>OC237/1</t>
  </si>
  <si>
    <t>OC237/1     (MAHLE)   !!заміна для OC237</t>
  </si>
  <si>
    <t>96.05</t>
  </si>
  <si>
    <t>ROVER 114, 214, 218, 414, 420, 25, 45, 75 бензин 90- /92 X 75 (13/16 - 16 UNF)/</t>
  </si>
  <si>
    <t>OC23o.F.</t>
  </si>
  <si>
    <t>OC23o.F.     (MAHLE)</t>
  </si>
  <si>
    <t>FORD 1.6-2.9 бен. -93, LADA 2101-2107 (MANN: W916/1) /94.5 X 92 (3/4 - 16 UNF)/</t>
  </si>
  <si>
    <t>OC248     (MAHLE)   !!заміна для OC227</t>
  </si>
  <si>
    <t>OC262</t>
  </si>
  <si>
    <t>OC262     (MAHLE)   !!заміна для OC249</t>
  </si>
  <si>
    <t>VW PASSAT,T4,SHARAN,VENTO 1.9TD/TDI 96- /116 X 85 (3/4 - 16 UNF)/</t>
  </si>
  <si>
    <t>OC264     (MAHLE)   !!заміна для OC154/OC240</t>
  </si>
  <si>
    <t>OC267</t>
  </si>
  <si>
    <t>OC267     (MAHLE)</t>
  </si>
  <si>
    <t>IVECO - trucks /209.7 X 108 (M30X2)/</t>
  </si>
  <si>
    <t>OC274     (MAHLE)</t>
  </si>
  <si>
    <t>OC295     (MAHLE)   !!заміна для OC207/OC250</t>
  </si>
  <si>
    <t>OC297     (MAHLE)</t>
  </si>
  <si>
    <t>OC470     (MAHLE)</t>
  </si>
  <si>
    <t>OC475     (MAHLE)</t>
  </si>
  <si>
    <t>OC478     (MAHLE)</t>
  </si>
  <si>
    <t>OC47o.F.     (MAHLE)</t>
  </si>
  <si>
    <t>OC485</t>
  </si>
  <si>
    <t>OC485     (MAHLE)   !!заміна для OC311</t>
  </si>
  <si>
    <t>213.78</t>
  </si>
  <si>
    <t>AUDI 80 2.6, 2.8  92-96, A4,A6,A8 2.4-3.0  95- /139.5 X 92 (3/4 - 16 UNF)/</t>
  </si>
  <si>
    <t>OC486     (MAHLE)</t>
  </si>
  <si>
    <t>OC570     (MAHLE)   !!заміна для OC616</t>
  </si>
  <si>
    <t>OC593/4     (MAHLE)</t>
  </si>
  <si>
    <t>OC606     (MAHLE)   !!заміна для OC235, 266</t>
  </si>
  <si>
    <t>OC90o.F.     (MAHLE)</t>
  </si>
  <si>
    <t>OC981</t>
  </si>
  <si>
    <t>OC981     (MAHLE)   !!заміна для OC82, OC231</t>
  </si>
  <si>
    <t>108.01</t>
  </si>
  <si>
    <t>Saab 900/ 9000/ 9-3/ 9-5 2, 0/ 2, 0  /WL7323/</t>
  </si>
  <si>
    <t>OC983     (MAHLE)   !!заміна для OC66,OC296</t>
  </si>
  <si>
    <t>OC988     (MAHLE)</t>
  </si>
  <si>
    <t>OC99     (MAHLE)</t>
  </si>
  <si>
    <t>OC99o.F.</t>
  </si>
  <si>
    <t>OC99o.F.     (MAHLE)</t>
  </si>
  <si>
    <t>128.37</t>
  </si>
  <si>
    <t>OX122D     (MAHLE)</t>
  </si>
  <si>
    <t>OX125     (MAHLE)</t>
  </si>
  <si>
    <t>OX127/1DEco     (MAHLE)   !!заміна для OX127D</t>
  </si>
  <si>
    <t>OX133DEco     (MAHLE)   !!заміна для OX105D</t>
  </si>
  <si>
    <t>OX138DEco</t>
  </si>
  <si>
    <t>OX138DEco     (MAHLE)</t>
  </si>
  <si>
    <t>146.65</t>
  </si>
  <si>
    <t>AUDI 100(43/44/44Q/C3) 1.6/1.8</t>
  </si>
  <si>
    <t>OX146DEco     (MAHLE)</t>
  </si>
  <si>
    <t>OX149DEco     (MAHLE)</t>
  </si>
  <si>
    <t>OX150DEco</t>
  </si>
  <si>
    <t>OX150DEco     (MAHLE)   !!заміна для OX94D</t>
  </si>
  <si>
    <t>134.86</t>
  </si>
  <si>
    <t>MB trucks 6t-18t (аналог HU932/4X)</t>
  </si>
  <si>
    <t>OX152/1DEco     (MAHLE)   !!заміна для OX152DEco</t>
  </si>
  <si>
    <t>OX153/7DEco</t>
  </si>
  <si>
    <t>OX153/7DEco     (MAHLE)   !!заміна для OX153DEco</t>
  </si>
  <si>
    <t>129.90</t>
  </si>
  <si>
    <t>OX153D1Eco     (MAHLE)</t>
  </si>
  <si>
    <t>OX153D3Eco     (MAHLE)</t>
  </si>
  <si>
    <t>OX154/1DEco     (MAHLE)   !!заміна для OX154DEco</t>
  </si>
  <si>
    <t>OX156DEco     (MAHLE)</t>
  </si>
  <si>
    <t>OX160DEco</t>
  </si>
  <si>
    <t>OX160DEco     (MAHLE)</t>
  </si>
  <si>
    <t>194.30</t>
  </si>
  <si>
    <t>AUDI A6,A8 3.7, 4.2, 3.3TDI 98-, VW GOLF III, PASSAT 2.8 VR6 91- (по № двиг.)</t>
  </si>
  <si>
    <t>OX163/4DEco     (MAHLE)   !!заміна для OX163/1DEco</t>
  </si>
  <si>
    <t>OX164DEco     (MAHLE)</t>
  </si>
  <si>
    <t>OX169DEco     (MAHLE)</t>
  </si>
  <si>
    <t>OX171/2DEco     (MAHLE)</t>
  </si>
  <si>
    <t>OX173DEco</t>
  </si>
  <si>
    <t>OX173DEco     (MAHLE)</t>
  </si>
  <si>
    <t>104.35</t>
  </si>
  <si>
    <t>OX182DEco     (MAHLE)</t>
  </si>
  <si>
    <t>OX183/5D1Eco</t>
  </si>
  <si>
    <t>OX183/5D1Eco     (MAHLE)</t>
  </si>
  <si>
    <t>MB C-Classe C180-C250, -08, Sprinter 216, 316,  08-</t>
  </si>
  <si>
    <t>OX188DEco     (MAHLE)</t>
  </si>
  <si>
    <t>OX191DEco     (MAHLE)</t>
  </si>
  <si>
    <t>OX196/1D1Eco     (MAHLE)</t>
  </si>
  <si>
    <t>OX196/1DEco</t>
  </si>
  <si>
    <t>OX196/1DEco     (MAHLE)</t>
  </si>
  <si>
    <t>AUDI A6 3,0TDI 5/04-&gt; ,A8 3,0TDI/4,0TDI 3/03-&gt;</t>
  </si>
  <si>
    <t>OX210DEco     (MAHLE)</t>
  </si>
  <si>
    <t>OX258DEco     (MAHLE)   !!заміна для OX258Eco</t>
  </si>
  <si>
    <t>OX341DEco     (MAHLE)</t>
  </si>
  <si>
    <t>OX345/7DEco</t>
  </si>
  <si>
    <t>OX345/7DEco     (MAHLE)   !!заміна для OX345D</t>
  </si>
  <si>
    <t>280.05</t>
  </si>
  <si>
    <t xml:space="preserve">MB C, E,CLK,S -Classe 240-600, Vito, 03- </t>
  </si>
  <si>
    <t>OX346DEco     (MAHLE)   !!заміна для OX141/1DEco</t>
  </si>
  <si>
    <t>OX351DEco     (MAHLE)</t>
  </si>
  <si>
    <t>OX360DEco     (MAHLE)</t>
  </si>
  <si>
    <t>OX371DEco     (MAHLE)</t>
  </si>
  <si>
    <t>OX379DEco     (MAHLE)</t>
  </si>
  <si>
    <t>OX387DEco     (MAHLE)</t>
  </si>
  <si>
    <t>OX388DEco     (MAHLE)</t>
  </si>
  <si>
    <t>OX38D     (MAHLE)</t>
  </si>
  <si>
    <t>OX401DEco</t>
  </si>
  <si>
    <t>OX401DEco     (MAHLE)</t>
  </si>
  <si>
    <t>ALFA ROMEO 159 03.07-&gt; OPEL Agila/Astra H/Corsa D/Vectra C/Zafira 07.05-&gt;</t>
  </si>
  <si>
    <t>OX413D1Eco</t>
  </si>
  <si>
    <t>OX413D1Eco     (MAHLE)</t>
  </si>
  <si>
    <t>125.12</t>
  </si>
  <si>
    <t>TOYOTA 2.0D, 2.2D  06- /WL7447/</t>
  </si>
  <si>
    <t>OX414D1Eco     (MAHLE)</t>
  </si>
  <si>
    <t>OX415DEco     (MAHLE)</t>
  </si>
  <si>
    <t>OX416D2Eco     (MAHLE)</t>
  </si>
  <si>
    <t>OX418DEco     (MAHLE)</t>
  </si>
  <si>
    <t>OX420DEco</t>
  </si>
  <si>
    <t>OX420DEco     (MAHLE)</t>
  </si>
  <si>
    <t>174.62</t>
  </si>
  <si>
    <t>AUDI 3.0TDI  10- / WL7501/</t>
  </si>
  <si>
    <t>OX424DEco</t>
  </si>
  <si>
    <t>OX424DEco     (MAHLE)</t>
  </si>
  <si>
    <t>HYUNDAI/KIA 1.1CRDI - 1.6CRDI 05- /WL7442/</t>
  </si>
  <si>
    <t>OX436DEco     (MAHLE)</t>
  </si>
  <si>
    <t>OX441DEco     (MAHLE)</t>
  </si>
  <si>
    <t>OX91D</t>
  </si>
  <si>
    <t>OX91D     (MAHLE)</t>
  </si>
  <si>
    <t>BMW 316i,318i/Ti -94, 518i -96 (M40, M42 - engines)</t>
  </si>
  <si>
    <t>MOBIL</t>
  </si>
  <si>
    <t>Mobil Super 1000 15W-40 1L</t>
  </si>
  <si>
    <t>MOBIL T</t>
  </si>
  <si>
    <t>Mobil 1 5W-50 1L (T)</t>
  </si>
  <si>
    <t>230.53</t>
  </si>
  <si>
    <t>Mobil 1 5W-50 4L (T)</t>
  </si>
  <si>
    <t>884.36</t>
  </si>
  <si>
    <t>Mobil 1 0W-40 1L (T)</t>
  </si>
  <si>
    <t>246.24</t>
  </si>
  <si>
    <t>Mobil ATF 220 1L (T)</t>
  </si>
  <si>
    <t>132.68</t>
  </si>
  <si>
    <t>Mobil Super 2000 10W-40 1L (T)</t>
  </si>
  <si>
    <t>114.21</t>
  </si>
  <si>
    <t>Mobil Super 2000 10W-40 4L (T)</t>
  </si>
  <si>
    <t>404.35</t>
  </si>
  <si>
    <t>Mobil Super 3000 5W-40 1L (T)</t>
  </si>
  <si>
    <t>Mobil Super 1000 15W-40 4L</t>
  </si>
  <si>
    <t>351.86</t>
  </si>
  <si>
    <t>Mobil ATF 320 1L (T)</t>
  </si>
  <si>
    <t>152.93</t>
  </si>
  <si>
    <t>Mobil Super 3000 X1 Formula FE 5W-30 1L (T)</t>
  </si>
  <si>
    <t>161.68</t>
  </si>
  <si>
    <t>Mobil Super 3000 X1 Formula FE 5W-30 4L (T)</t>
  </si>
  <si>
    <t>601.34</t>
  </si>
  <si>
    <t>Mobil ATF LT 71141 20L (T)</t>
  </si>
  <si>
    <t>3174.39</t>
  </si>
  <si>
    <t>Mobil ATF LT 71141 1L (T)</t>
  </si>
  <si>
    <t>185.00</t>
  </si>
  <si>
    <t>Mobil 1 0W-40 4L (T)</t>
  </si>
  <si>
    <t>948.83</t>
  </si>
  <si>
    <t>Mobil Delvac MX Extra 10W-40 20L (T)</t>
  </si>
  <si>
    <t>1789.45</t>
  </si>
  <si>
    <t>Mobilube HD 80W-90 1L (T)</t>
  </si>
  <si>
    <t>122.80</t>
  </si>
  <si>
    <t>Mobil LUBE GX 80W-90 1L (T)</t>
  </si>
  <si>
    <t>Mobil 1 ESP Formula 5W-30 1L (x12) (T)</t>
  </si>
  <si>
    <t>215.46</t>
  </si>
  <si>
    <t>Mobil 1 ESP Formula 5W-30 4L (x4) (T)</t>
  </si>
  <si>
    <t>831.87</t>
  </si>
  <si>
    <t>150017d</t>
  </si>
  <si>
    <t>Mobil Super 2000 X1 DIESEL 10W-40 1L (x12)</t>
  </si>
  <si>
    <t>MOBIL E</t>
  </si>
  <si>
    <t>Mobil 1 New Life 0W-40 1L (x12)</t>
  </si>
  <si>
    <t>Mobil ATF 220 20L (T)</t>
  </si>
  <si>
    <t>2124.95</t>
  </si>
  <si>
    <t>m-ultr10-1L</t>
  </si>
  <si>
    <t>MOBIL Ultra 10W-40 1L x12</t>
  </si>
  <si>
    <t>89.10</t>
  </si>
  <si>
    <t>m-ultr10-4L</t>
  </si>
  <si>
    <t>MOBIL Ultra 10W-40 4L x4</t>
  </si>
  <si>
    <t>305.37</t>
  </si>
  <si>
    <t>OE - filter</t>
  </si>
  <si>
    <t>1 208 300 = KC109     (OE FORD)</t>
  </si>
  <si>
    <t>220.80</t>
  </si>
  <si>
    <t>FORD</t>
  </si>
  <si>
    <t>1109AP</t>
  </si>
  <si>
    <t>1109AP = OC100     (OE PSA)</t>
  </si>
  <si>
    <t>86.08</t>
  </si>
  <si>
    <t>PEUGEOT</t>
  </si>
  <si>
    <t>1109AY</t>
  </si>
  <si>
    <t>1109AY = L343C     (OE PSA)</t>
  </si>
  <si>
    <t>103.50</t>
  </si>
  <si>
    <t>Citroen C4 1.6 HDI 16V 10-</t>
  </si>
  <si>
    <t>77 00 274 177</t>
  </si>
  <si>
    <t>77 00 274 177 = LS218     (OE RENAULT)</t>
  </si>
  <si>
    <t>77.63</t>
  </si>
  <si>
    <t>RENAULT</t>
  </si>
  <si>
    <t>RENAULT Kangoo II 1.6 16V, Symbol II 1.4-1.6,  98- , Megane I-II 1,4-2.0, DACIA Logan 1.4-1.6</t>
  </si>
  <si>
    <t>82 00 362 442</t>
  </si>
  <si>
    <t>82 00 362 442 = L470     (OE RENAULT)</t>
  </si>
  <si>
    <t>144.90</t>
  </si>
  <si>
    <t>Nissan Qashqai 1.6 dCi,X-Trail 2.0 dCi, Primastar 2.0 dCi, OPEL Movano A 2.5 CDTi, Vivaro 2.0 CDTi</t>
  </si>
  <si>
    <t>82 00 768 913</t>
  </si>
  <si>
    <t>82 00 768 913 = LS932     (OE RENAULT)</t>
  </si>
  <si>
    <t>89.70</t>
  </si>
  <si>
    <t>82 00 768 927</t>
  </si>
  <si>
    <t>82 00 768 927 = LS933     (OE RENAULT)</t>
  </si>
  <si>
    <t>105.23</t>
  </si>
  <si>
    <t>RENAULT Clio II,III/Kangoo/Megane II,III 1.5DCi/1.9DCi, DACIA Logan, DUSTER 1.5 dci 10 -</t>
  </si>
  <si>
    <t>OE BMW</t>
  </si>
  <si>
    <t>BMW M Twinpower Tubo Oil SAE 10W-60 1L (x12)</t>
  </si>
  <si>
    <t>364.84</t>
  </si>
  <si>
    <t>BMW M Twinpower Tubo Oil Longlife-01 SAE 0W-40 1L (x12)</t>
  </si>
  <si>
    <t>378.29</t>
  </si>
  <si>
    <t>BMW Twinpower Tubo Oil Longlife-04 SAE 0W-30 1L (x12)</t>
  </si>
  <si>
    <t>292.22</t>
  </si>
  <si>
    <t>OE FORD</t>
  </si>
  <si>
    <t>Ford Formula F 5W-30 5 Liter (x4)</t>
  </si>
  <si>
    <t>689.83</t>
  </si>
  <si>
    <t>Ford Formula S/SD 5w-40 5 Liter (x4)</t>
  </si>
  <si>
    <t>722.60</t>
  </si>
  <si>
    <t>OE GM</t>
  </si>
  <si>
    <t>GM DEXOS 2 5W-30 1 Liter (x20)</t>
  </si>
  <si>
    <t>113.85</t>
  </si>
  <si>
    <t>GM DEXOS 2 5W-30 2 Liter (x10)</t>
  </si>
  <si>
    <t>227.70</t>
  </si>
  <si>
    <t>GM DEXOS 2 5W-30 5 Liter (x4)</t>
  </si>
  <si>
    <t>491.63</t>
  </si>
  <si>
    <t>GM 10W-40 1 Liter (x20)</t>
  </si>
  <si>
    <t>81.94</t>
  </si>
  <si>
    <t>GM 10W-40 5 Liter (x4)</t>
  </si>
  <si>
    <t>352.76</t>
  </si>
  <si>
    <t>OE HONDA</t>
  </si>
  <si>
    <t>HONDA Genuie ATF DW-1 1qt (946 ml)</t>
  </si>
  <si>
    <t>259.85</t>
  </si>
  <si>
    <t>HONDA Genuie SYNTHETIC BLEND 5W-20 1qt (946 ml)</t>
  </si>
  <si>
    <t>151.96</t>
  </si>
  <si>
    <t>HONDA Genuie SYNTHETIC BLEND 5W-30 1qt (946 ml)</t>
  </si>
  <si>
    <t>OE LEXUS</t>
  </si>
  <si>
    <t>Lexus LGMO SAE 5W-30 5 Liter (x4)</t>
  </si>
  <si>
    <t>918.05</t>
  </si>
  <si>
    <t>OE MAZDA</t>
  </si>
  <si>
    <t>MAZDA 5W-30 Super Premium 1qt (946 ml)</t>
  </si>
  <si>
    <t>203.96</t>
  </si>
  <si>
    <t>MAZDA ORIGINAL OIL ULTRA 5W-30 1L (x20)</t>
  </si>
  <si>
    <t>152.49</t>
  </si>
  <si>
    <t>MAZDA ORIGINAL OIL ULTRA 5W-30 5L (x4)</t>
  </si>
  <si>
    <t>732.61</t>
  </si>
  <si>
    <t>OE MB</t>
  </si>
  <si>
    <t>Mercedes Synthetic MB 229.5 (1Lх12)</t>
  </si>
  <si>
    <t>179.75</t>
  </si>
  <si>
    <t>Mercedes Synthetic MB 229.5 (5Lх4)</t>
  </si>
  <si>
    <t>786.08</t>
  </si>
  <si>
    <t>Mercedes MB 228.51 (1Lх12)</t>
  </si>
  <si>
    <t>188.54</t>
  </si>
  <si>
    <t>A0009899701BAA4</t>
  </si>
  <si>
    <t>Mercedes Synthetic MB 229.51 (5Lх4)</t>
  </si>
  <si>
    <t>828.00</t>
  </si>
  <si>
    <t>A0009899701BAA6</t>
  </si>
  <si>
    <t>Mercedes Synthetic MB 229.51 (1Lх12)</t>
  </si>
  <si>
    <t>194.58</t>
  </si>
  <si>
    <t>A00198937010016</t>
  </si>
  <si>
    <t>Mercedes Synthetic MB 229.52 (1Lх12)</t>
  </si>
  <si>
    <t>A0019893701BAA4</t>
  </si>
  <si>
    <t>Mercedes Synthetic MB 229.52 (5Lх4)</t>
  </si>
  <si>
    <t>850.94</t>
  </si>
  <si>
    <t>A001989680300G1</t>
  </si>
  <si>
    <t>Getriebe?l Mercedes MB 236.14 (1Lх12)</t>
  </si>
  <si>
    <t>247.02</t>
  </si>
  <si>
    <t>OE NISSAN</t>
  </si>
  <si>
    <t>KE90090032</t>
  </si>
  <si>
    <t>NISSAN Motor Oil 5W-40 1 Liter (х20)</t>
  </si>
  <si>
    <t>139.90</t>
  </si>
  <si>
    <t>KE90090042</t>
  </si>
  <si>
    <t>NISSAN Motor Oil 5W-40 5 Liter (х4)</t>
  </si>
  <si>
    <t>678.62</t>
  </si>
  <si>
    <t>OE TOYOTA</t>
  </si>
  <si>
    <t>TOYOTA Motor Oil SN 5W-30 1qt (946 ml)</t>
  </si>
  <si>
    <t>TOYOTA ATF WS 1qt (946 ml)</t>
  </si>
  <si>
    <t>290.79</t>
  </si>
  <si>
    <t>TOYOTA SYNTHETIC 5W-40 5Lx4 (NEW)</t>
  </si>
  <si>
    <t>1055.87</t>
  </si>
  <si>
    <t>TOYOTA SYNTHETIC 5W-40 1Lx12 (NEW)</t>
  </si>
  <si>
    <t>228.22</t>
  </si>
  <si>
    <t>TOYOTA  5W-30 Fuel Economy 5L (x4)</t>
  </si>
  <si>
    <t>747.96</t>
  </si>
  <si>
    <t>TOYOTA  5W-30 Fuel Economy 1L (x12)</t>
  </si>
  <si>
    <t>177.85</t>
  </si>
  <si>
    <t>OE VW AUDI</t>
  </si>
  <si>
    <t>G052167M2</t>
  </si>
  <si>
    <t>VW AUDI Special Plus 5W-40 1Lx12</t>
  </si>
  <si>
    <t>219.08</t>
  </si>
  <si>
    <t>G052195M2</t>
  </si>
  <si>
    <t>VW AUDI Longlife III 5W-30 1Lx12</t>
  </si>
  <si>
    <t>231.50</t>
  </si>
  <si>
    <t>G052195M4</t>
  </si>
  <si>
    <t>VW AUDI Longlife III 5W-30 5Lx4</t>
  </si>
  <si>
    <t>1097.27</t>
  </si>
  <si>
    <t>PRISTA</t>
  </si>
  <si>
    <t>PRISTA ANTIFREEZE LONG LIFE CONC. 12x1L</t>
  </si>
  <si>
    <t>PRISTA ANTIFREEZE LONG LIFE CONC. 20L</t>
  </si>
  <si>
    <t>1272.00</t>
  </si>
  <si>
    <t>PRISTA ANTIFREEZE LONG LIFE CONC. 4x4L</t>
  </si>
  <si>
    <t>259.20</t>
  </si>
  <si>
    <t>PRISTA ULTRA 5W30 (API SL/CF) 12x1L</t>
  </si>
  <si>
    <t>64.20</t>
  </si>
  <si>
    <t>PRISTA ULTRA 5W30 (API SL/CF) 4x4L</t>
  </si>
  <si>
    <t>249.00</t>
  </si>
  <si>
    <t>PRISTA ULTRA 5W40 (API SN/CF) 12x1L</t>
  </si>
  <si>
    <t>64.80</t>
  </si>
  <si>
    <t>PRISTA ULTRA 5W40 (API SN/CF) 4x4L</t>
  </si>
  <si>
    <t>PRISTA ULTRAGEAR SYNTHETIC 75W90 12x1L</t>
  </si>
  <si>
    <t>139.20</t>
  </si>
  <si>
    <t>PRISTA ULTRAGEAR SYNTHETIC 75W80 12x1L</t>
  </si>
  <si>
    <t>98.40</t>
  </si>
  <si>
    <t>PRISTA SUPER BENZIN 10W40 (API SL/CF) 12x1L</t>
  </si>
  <si>
    <t>55.80</t>
  </si>
  <si>
    <t>PRISTA SUPER BENZIN 10W40 (API SL/CF) 4x4L</t>
  </si>
  <si>
    <t>211.20</t>
  </si>
  <si>
    <t>PRISTA Super HD 15W40 (CF-4/CF/SF/SG) 210L</t>
  </si>
  <si>
    <t>10020.00</t>
  </si>
  <si>
    <t>PRISTA LEADER TD 10W40 (SL/CF) 12x1L</t>
  </si>
  <si>
    <t>68.40</t>
  </si>
  <si>
    <t>PRISTA LEADER TD 10W40 (SL/CF)  4x4L</t>
  </si>
  <si>
    <t>240.00</t>
  </si>
  <si>
    <t>PRISTA SHPD VDS-3 10W40 (API CI-4) 210L</t>
  </si>
  <si>
    <t>10620.00</t>
  </si>
  <si>
    <t>PRISTA SHPD VDS-3 15W40 (API CI-4) 20L</t>
  </si>
  <si>
    <t>1008.00</t>
  </si>
  <si>
    <t>PRISTA SHPD VDS-3 15W40 (API CI-4) 210L</t>
  </si>
  <si>
    <t>9960.00</t>
  </si>
  <si>
    <t>PRISTA UHPD 10W40 20L</t>
  </si>
  <si>
    <t>1566.00</t>
  </si>
  <si>
    <t>PRISTA UHPD 10W40 210L</t>
  </si>
  <si>
    <t>16740.00</t>
  </si>
  <si>
    <t>PRISTA 2T MIX (API TC) 12x1L</t>
  </si>
  <si>
    <t>57.00</t>
  </si>
  <si>
    <t>PRISTA 4T 10W40 12x1L</t>
  </si>
  <si>
    <t>66.60</t>
  </si>
  <si>
    <t>PRISTA ULTRA PLUS 5W30 12x1L</t>
  </si>
  <si>
    <t>79.80</t>
  </si>
  <si>
    <t>PRISTA ULTRA PLUS 5W30 4x4L</t>
  </si>
  <si>
    <t>PRISTA ATF DEXRON IID 12x1L</t>
  </si>
  <si>
    <t>PRISTA ATF DEXRON III 12x1L</t>
  </si>
  <si>
    <t>87.60</t>
  </si>
  <si>
    <t>PRISTA EP 80W90 (API GL-5) 12x1L</t>
  </si>
  <si>
    <t>63.00</t>
  </si>
  <si>
    <t>PRISTA ANTIFREEZE CONCENTRATE 12x1L</t>
  </si>
  <si>
    <t>69.00</t>
  </si>
  <si>
    <t>PRISTA ANTIFREEZE CONCENTRATE 4x4L</t>
  </si>
  <si>
    <t>257.40</t>
  </si>
  <si>
    <t>PRISTA ANTIFREEZE CONCENTRATE 20L</t>
  </si>
  <si>
    <t>1200.00</t>
  </si>
  <si>
    <t>PRISTA WINTER SCREEN WASH (-60 degr.) 12x1L</t>
  </si>
  <si>
    <t>52.21</t>
  </si>
  <si>
    <t>PRISTA LITHIUM EP-2 (cartridge) 21x0,4KG</t>
  </si>
  <si>
    <t>43.20</t>
  </si>
  <si>
    <t>PRISTA LIX EP-2 (cartridge) 21x0,4KG</t>
  </si>
  <si>
    <t>54.00</t>
  </si>
  <si>
    <t>PURFLUX</t>
  </si>
  <si>
    <t>A1008</t>
  </si>
  <si>
    <t>A1008     (PURFLUX)</t>
  </si>
  <si>
    <t>198.12</t>
  </si>
  <si>
    <t>A1029</t>
  </si>
  <si>
    <t>A1029     (PURFLUX)</t>
  </si>
  <si>
    <t>224.41</t>
  </si>
  <si>
    <t>MB SPRINTER all engines 95-00, Vito 108-112, VW LT II 28-46 , 96-06</t>
  </si>
  <si>
    <t>A1036</t>
  </si>
  <si>
    <t>A1036     (PURFLUX)</t>
  </si>
  <si>
    <t>101.27</t>
  </si>
  <si>
    <t>PEUGEOT 206 1.1i - 1.6i  98-, CITROEN Xsara 1.4i, 1.6i 00-</t>
  </si>
  <si>
    <t>A1043</t>
  </si>
  <si>
    <t>A1043     (PURFLUX)</t>
  </si>
  <si>
    <t>141.30</t>
  </si>
  <si>
    <t>OPEL-VAUXHALL  Astra G, Astra H, Zafira B, 1.6-2.0, 98-</t>
  </si>
  <si>
    <t>A1045</t>
  </si>
  <si>
    <t>A1045     (PURFLUX)</t>
  </si>
  <si>
    <t>139.26</t>
  </si>
  <si>
    <t>VW POLO, BORA 1.4 16V 96-, GOLF IV, SEAT TOLEDO 1.6 16V 00-</t>
  </si>
  <si>
    <t>A1050</t>
  </si>
  <si>
    <t>A1050     (PURFLUX)</t>
  </si>
  <si>
    <t>165.55</t>
  </si>
  <si>
    <t>A1052</t>
  </si>
  <si>
    <t>A1052     (PURFLUX)</t>
  </si>
  <si>
    <t>268.52</t>
  </si>
  <si>
    <t>BMW 520D (M47 - engines) 00-, 320TD 01-</t>
  </si>
  <si>
    <t>A1054</t>
  </si>
  <si>
    <t>A1054     (PURFLUX)</t>
  </si>
  <si>
    <t>182.52</t>
  </si>
  <si>
    <t>AUDI A4,A6 VW Passat 2,5TDI 97-</t>
  </si>
  <si>
    <t>A1055</t>
  </si>
  <si>
    <t>A1055     (PURFLUX)</t>
  </si>
  <si>
    <t>156.56</t>
  </si>
  <si>
    <t>SMART City-Coupe 0.6-0.7   98-04,   Fortwo 0.7  04-, Cabrio 0.6-0.7,  00 -04</t>
  </si>
  <si>
    <t>A1056</t>
  </si>
  <si>
    <t>A1056     (PURFLUX)</t>
  </si>
  <si>
    <t>104.15</t>
  </si>
  <si>
    <t>FORD Focus (all eng) 98-, Fiesta 1.8DI 00-</t>
  </si>
  <si>
    <t>A1075</t>
  </si>
  <si>
    <t>A1075     (PURFLUX)</t>
  </si>
  <si>
    <t>247.82</t>
  </si>
  <si>
    <t>A1078</t>
  </si>
  <si>
    <t>A1078     (PURFLUX)</t>
  </si>
  <si>
    <t>393.70</t>
  </si>
  <si>
    <t>A1100</t>
  </si>
  <si>
    <t>A1100     (PURFLUX)</t>
  </si>
  <si>
    <t>187.77</t>
  </si>
  <si>
    <t>FIAT Doblo 1.6, 1.9 D,  02-</t>
  </si>
  <si>
    <t>A1111</t>
  </si>
  <si>
    <t>A1111     (PURFLUX)</t>
  </si>
  <si>
    <t>115.85</t>
  </si>
  <si>
    <t>PEUGEOT 307  1.6i, 2.0i 16v, 00-</t>
  </si>
  <si>
    <t>A1113</t>
  </si>
  <si>
    <t>A1113     (PURFLUX)</t>
  </si>
  <si>
    <t>173.19</t>
  </si>
  <si>
    <t>SKODA FABIA 1.2 12v -1.4  00-</t>
  </si>
  <si>
    <t>A1115</t>
  </si>
  <si>
    <t>A1115     (PURFLUX)</t>
  </si>
  <si>
    <t>138.41</t>
  </si>
  <si>
    <t>FIAT Doblo 1.4, Punto 1.4, STILO 1.2,1.4  02-, Alfa MITO 1.4, 10-,</t>
  </si>
  <si>
    <t>A1119</t>
  </si>
  <si>
    <t>A1119     (PURFLUX)</t>
  </si>
  <si>
    <t>179.63</t>
  </si>
  <si>
    <t>AUDI A4 (all eng) 00-, SEAT EXEO 08 -</t>
  </si>
  <si>
    <t>A1125</t>
  </si>
  <si>
    <t>A1125     (PURFLUX)</t>
  </si>
  <si>
    <t>195.75</t>
  </si>
  <si>
    <t>A1128</t>
  </si>
  <si>
    <t>A1128     (PURFLUX)</t>
  </si>
  <si>
    <t>116.19</t>
  </si>
  <si>
    <t>TOYOTA YARIS 1.0i 04/99-</t>
  </si>
  <si>
    <t>A1131</t>
  </si>
  <si>
    <t>A1131     (PURFLUX)</t>
  </si>
  <si>
    <t>138.07</t>
  </si>
  <si>
    <t>A1136</t>
  </si>
  <si>
    <t>A1136     (PURFLUX)</t>
  </si>
  <si>
    <t>TOYOTA Avensis 2.0-2.4, 03-08, Corolla 1.4-1.8, 02-07</t>
  </si>
  <si>
    <t>A1141</t>
  </si>
  <si>
    <t>A1141     (PURFLUX)</t>
  </si>
  <si>
    <t>103.30</t>
  </si>
  <si>
    <t>CITROEN Berlingo/C2/C3 1,1-1,4   02-,   PEUGEOT Partner /1007</t>
  </si>
  <si>
    <t>A1145</t>
  </si>
  <si>
    <t>A1145     (PURFLUX)</t>
  </si>
  <si>
    <t>111.10</t>
  </si>
  <si>
    <t>A1154</t>
  </si>
  <si>
    <t>A1154     (PURFLUX)</t>
  </si>
  <si>
    <t>132.48</t>
  </si>
  <si>
    <t>Chrysler Sebring II 2.4-2.7,  06 - 10, VOYAGER III (RG),  99 - 08</t>
  </si>
  <si>
    <t>A1157</t>
  </si>
  <si>
    <t>A1157     (PURFLUX)</t>
  </si>
  <si>
    <t>163.18</t>
  </si>
  <si>
    <t>MAZDA 626/Kombi [GF/GW] 2,0TD 10/97-| MPV  2,0/2,5 V6 DOHC 99-</t>
  </si>
  <si>
    <t>A1159</t>
  </si>
  <si>
    <t>A1159     (PURFLUX)</t>
  </si>
  <si>
    <t>A1160</t>
  </si>
  <si>
    <t>A1160     (PURFLUX)</t>
  </si>
  <si>
    <t>A1161</t>
  </si>
  <si>
    <t>A1161     (PURFLUX)</t>
  </si>
  <si>
    <t>241.21</t>
  </si>
  <si>
    <t>Vivaro, Primastar,  Trafic 2.0-2.5dCi  01-</t>
  </si>
  <si>
    <t>A1168</t>
  </si>
  <si>
    <t>A1168     (PURFLUX)</t>
  </si>
  <si>
    <t>208.64</t>
  </si>
  <si>
    <t>AUDI A3 1,6-2,0FSI 5/03- ,SEAT Altea 1,6-2,0FSI 3/04- ,VW Caddy III 1,6-2,0SDI 04- ,Golf V 1,6</t>
  </si>
  <si>
    <t>A1169</t>
  </si>
  <si>
    <t>A1169     (PURFLUX)</t>
  </si>
  <si>
    <t>186.08</t>
  </si>
  <si>
    <t>A1177</t>
  </si>
  <si>
    <t>A1177     (PURFLUX)</t>
  </si>
  <si>
    <t>205.92</t>
  </si>
  <si>
    <t>A1180</t>
  </si>
  <si>
    <t>A1180     (PURFLUX)</t>
  </si>
  <si>
    <t>PEUGEOT 407 1.8-2.2 5/04-&gt;,CITROEN C5 1.8 9/04</t>
  </si>
  <si>
    <t>A1189</t>
  </si>
  <si>
    <t>A1189     (PURFLUX)</t>
  </si>
  <si>
    <t>FORD Focus C-Max/Focus 1,6-2,0 11/04-&gt;</t>
  </si>
  <si>
    <t>A1190</t>
  </si>
  <si>
    <t>A1190     (PURFLUX)</t>
  </si>
  <si>
    <t>206.09</t>
  </si>
  <si>
    <t>OPEL Movano 2.2CDTi/2.5CDTi 03-&gt;, RENAULT Master 2.2DCi/2.5DCi 03-</t>
  </si>
  <si>
    <t>A1195</t>
  </si>
  <si>
    <t>A1195     (PURFLUX)</t>
  </si>
  <si>
    <t>RENAULT Megan II 1,5dCi 11/02-&gt;,Scenik 1,5-2,0dCi6/03-</t>
  </si>
  <si>
    <t>A1207</t>
  </si>
  <si>
    <t>A1207     (PURFLUX)</t>
  </si>
  <si>
    <t>330.94</t>
  </si>
  <si>
    <t>MB W220 (S280, S320, S430, S500) 98-</t>
  </si>
  <si>
    <t>A1217</t>
  </si>
  <si>
    <t>A1217     (PURFLUX)</t>
  </si>
  <si>
    <t>AUDI A3 , Q3, TT  03-. SEAT Altea 1.8-2.0tdi 04- , Leon 2.0 TDI 05- SKODA Octavia 1.8-2.0TDI 04-&gt;.VW Caddy III 1.9-2.0TDI 04- /Golf V 1.4-1.9/2.0/TDI 03-</t>
  </si>
  <si>
    <t>A1221</t>
  </si>
  <si>
    <t>A1221     (PURFLUX)</t>
  </si>
  <si>
    <t>120.77</t>
  </si>
  <si>
    <t>A1223</t>
  </si>
  <si>
    <t>A1223     (PURFLUX)</t>
  </si>
  <si>
    <t>260.37</t>
  </si>
  <si>
    <t>FIAT Grande Punto 1.9 D 10/05-&gt;/ Linea 1.4 T-Jet 09/07-&gt;</t>
  </si>
  <si>
    <t>A1227</t>
  </si>
  <si>
    <t>A1227     (PURFLUX)</t>
  </si>
  <si>
    <t>193.71</t>
  </si>
  <si>
    <t>FIAT 500 1.3 D 10/07-  Doblo 1.3 D 10/05- Grande Punto 1.3 D 10/05- Linea 1.3 D 06/07- LANCIA Ypsilon 1.3 Multijet 09/06-</t>
  </si>
  <si>
    <t>A1228</t>
  </si>
  <si>
    <t>A1228     (PURFLUX)</t>
  </si>
  <si>
    <t>153.85</t>
  </si>
  <si>
    <t>OPEL Corsa C/ Tigra II 1, 3CDTI/ 1, 7DTI/ CDTI 09/ 00-</t>
  </si>
  <si>
    <t>A1229</t>
  </si>
  <si>
    <t>A1229     (PURFLUX)</t>
  </si>
  <si>
    <t>127.90</t>
  </si>
  <si>
    <t>Renault Kangoo 1.5DCI `01-|Renault Clio 1.5DCI , 01-</t>
  </si>
  <si>
    <t>A1230</t>
  </si>
  <si>
    <t>A1230     (PURFLUX)</t>
  </si>
  <si>
    <t>RENAULT CLIO, Kangoo, MEGANE 1.9D 02/00-</t>
  </si>
  <si>
    <t>A1231</t>
  </si>
  <si>
    <t>A1231     (PURFLUX)</t>
  </si>
  <si>
    <t>RENAULT Symbol 1.4 16V, Duster, Logan I  1,6 16v 04 -,  OPEL Vivaro 2.0 16V</t>
  </si>
  <si>
    <t>A1232</t>
  </si>
  <si>
    <t>A1232     (PURFLUX)</t>
  </si>
  <si>
    <t>99.74</t>
  </si>
  <si>
    <t>OPEL Movano/Vivaro 1.9TD 8/01-</t>
  </si>
  <si>
    <t>A1235</t>
  </si>
  <si>
    <t>A1235     (PURFLUX)</t>
  </si>
  <si>
    <t>170.81</t>
  </si>
  <si>
    <t>Hyundai TUCSON  2.0-2.7i, 2.0D, 04 - 10,  Kia SPORTAGE II 2.0-2.7,  04 -   CERATO I 1.5D  04-</t>
  </si>
  <si>
    <t>A1238</t>
  </si>
  <si>
    <t>A1238     (PURFLUX)</t>
  </si>
  <si>
    <t>148.93</t>
  </si>
  <si>
    <t>OPEL Corsa D 1.0 12V-1.4 16V, 06-</t>
  </si>
  <si>
    <t>A1248</t>
  </si>
  <si>
    <t>A1248     (PURFLUX)</t>
  </si>
  <si>
    <t>275.30</t>
  </si>
  <si>
    <t>E-CLASS III (W211) 03/02 - 03/09</t>
  </si>
  <si>
    <t>A1250</t>
  </si>
  <si>
    <t>A1250     (PURFLUX)</t>
  </si>
  <si>
    <t>272.08</t>
  </si>
  <si>
    <t>OPEL Movano 3.0DTi 10/03-, RENAULT Master III 3.0 DCi 10/03-, Mascott 05/04-</t>
  </si>
  <si>
    <t>A1255</t>
  </si>
  <si>
    <t>A1255     (PURFLUX)</t>
  </si>
  <si>
    <t>181.67</t>
  </si>
  <si>
    <t>VW TOUAREG 3.2i  02-,  5.0TDI (по 2 шт.) 02-</t>
  </si>
  <si>
    <t>A1257</t>
  </si>
  <si>
    <t>A1257     (PURFLUX)</t>
  </si>
  <si>
    <t>251.89</t>
  </si>
  <si>
    <t>Citroen C8, Jumpy II| Fiat Scudo II, Ulysse II| Peugeot Expert II, 807</t>
  </si>
  <si>
    <t>A1262</t>
  </si>
  <si>
    <t>A1262     (PURFLUX)</t>
  </si>
  <si>
    <t>134.34</t>
  </si>
  <si>
    <t>Toyota Auris 07-  Avensis 09-  Corolla Yaris 07-  /WA9627/</t>
  </si>
  <si>
    <t>A1264</t>
  </si>
  <si>
    <t>A1264     (PURFLUX)</t>
  </si>
  <si>
    <t>157.41</t>
  </si>
  <si>
    <t>HONDA Civic VIII 1.4i-1.8i</t>
  </si>
  <si>
    <t>A1265</t>
  </si>
  <si>
    <t>A1265     (PURFLUX)</t>
  </si>
  <si>
    <t>181.16</t>
  </si>
  <si>
    <t>RENAULT LAGUNA  1.8i 16V, 3.0i V6 24V, 1.9DTI, 2.2DCI  01-</t>
  </si>
  <si>
    <t>A1266</t>
  </si>
  <si>
    <t>A1266     (PURFLUX)</t>
  </si>
  <si>
    <t>251.55</t>
  </si>
  <si>
    <t>MERCEDES Sprinter 06.06- VW Crafter 04.0-</t>
  </si>
  <si>
    <t>A1267</t>
  </si>
  <si>
    <t>A1267     (PURFLUX)</t>
  </si>
  <si>
    <t>242.56</t>
  </si>
  <si>
    <t>MITSUBISHI L200 2.5 Di-D 05-</t>
  </si>
  <si>
    <t>A1268</t>
  </si>
  <si>
    <t>A1268     (PURFLUX)</t>
  </si>
  <si>
    <t>178.45</t>
  </si>
  <si>
    <t>FORD Galaxy 1.8-2.0/TDCI 05/06-&gt;/ Mondeo IV 1.6-2.0/TI/TDCI 03/07-&gt;/S-Max 1.8/2.0/TDCI 05/06-&gt;</t>
  </si>
  <si>
    <t>A1273</t>
  </si>
  <si>
    <t>A1273     (PURFLUX)</t>
  </si>
  <si>
    <t>204.23</t>
  </si>
  <si>
    <t>A1274</t>
  </si>
  <si>
    <t>A1274     (PURFLUX)</t>
  </si>
  <si>
    <t>162.67</t>
  </si>
  <si>
    <t>CITROEN C4 1.6 THP 16V, PEUGEOT 308 1.6 THP 16V, 308 SW 1.6 THP 16V, 407 SW HDi 3.0 V6</t>
  </si>
  <si>
    <t>A1276</t>
  </si>
  <si>
    <t>A1276     (PURFLUX)</t>
  </si>
  <si>
    <t>277.85</t>
  </si>
  <si>
    <t>Citroen Jumper III  2.2-3.0HDI | Fiat Ducato| Peugeot Boxer III 7/06-</t>
  </si>
  <si>
    <t>A1278</t>
  </si>
  <si>
    <t>A1278     (PURFLUX)</t>
  </si>
  <si>
    <t>RENAULT CLIO, KANGOO, MEGANE 1.4 07/96-  /1457433311/</t>
  </si>
  <si>
    <t>A1279</t>
  </si>
  <si>
    <t>A1279     (PURFLUX)</t>
  </si>
  <si>
    <t>172.00</t>
  </si>
  <si>
    <t>Renault Laguna III 1.6-2.0i 07-</t>
  </si>
  <si>
    <t>A1280</t>
  </si>
  <si>
    <t>A1280     (PURFLUX)</t>
  </si>
  <si>
    <t>176.41</t>
  </si>
  <si>
    <t>A1282</t>
  </si>
  <si>
    <t>A1282     (PURFLUX)</t>
  </si>
  <si>
    <t>252.57</t>
  </si>
  <si>
    <t>Logan, Clio II, Kangoo I 1.5 dCi (з префільтром),   08-</t>
  </si>
  <si>
    <t>A1285</t>
  </si>
  <si>
    <t>A1285     (PURFLUX)</t>
  </si>
  <si>
    <t>166.40</t>
  </si>
  <si>
    <t>A1291</t>
  </si>
  <si>
    <t>A1291     (PURFLUX)</t>
  </si>
  <si>
    <t>234.59</t>
  </si>
  <si>
    <t>AUDI A6 2.0TDi  05/04 - 03/11</t>
  </si>
  <si>
    <t>A1292</t>
  </si>
  <si>
    <t>A1292     (PURFLUX)</t>
  </si>
  <si>
    <t>Audi A4 II 1.8, 2.0TFSI, 2.0TDI 11/07-, A5, Q5 2.0- 1.8TFSI  10/07-</t>
  </si>
  <si>
    <t>A1294</t>
  </si>
  <si>
    <t>A1294     (PURFLUX)</t>
  </si>
  <si>
    <t>248.33</t>
  </si>
  <si>
    <t>CITRO?N Aircross, MITSUBISHI  ASX,LANCER X, PEUGEOT 4007 1.6-2.4  07-</t>
  </si>
  <si>
    <t>A1297</t>
  </si>
  <si>
    <t>A1297     (PURFLUX)</t>
  </si>
  <si>
    <t>208.30</t>
  </si>
  <si>
    <t>FORD FocusII, III, C-Max 1.0-1.6, VOLVO S40,V40 1.6-2.0</t>
  </si>
  <si>
    <t>A1301</t>
  </si>
  <si>
    <t>A1301     (PURFLUX)</t>
  </si>
  <si>
    <t>207.96</t>
  </si>
  <si>
    <t>A1302</t>
  </si>
  <si>
    <t>A1302     (PURFLUX)</t>
  </si>
  <si>
    <t>211.18</t>
  </si>
  <si>
    <t>KIA CEE'D All  06-</t>
  </si>
  <si>
    <t>A1304</t>
  </si>
  <si>
    <t>A1304     (PURFLUX)</t>
  </si>
  <si>
    <t>Rav 4 III 2.0-2.4 VVT-I, 11/05 -</t>
  </si>
  <si>
    <t>A1314</t>
  </si>
  <si>
    <t>A1314     (PURFLUX)</t>
  </si>
  <si>
    <t>231.37</t>
  </si>
  <si>
    <t>A1315</t>
  </si>
  <si>
    <t>A1315     (PURFLUX)</t>
  </si>
  <si>
    <t>Ford B-Max 1.0 EcoBoost, B-Max 1.6 TDCi, Fiesta VI 1.25, Fiesta VI 1.6 TDCi  08-</t>
  </si>
  <si>
    <t>A1317</t>
  </si>
  <si>
    <t>A1317     (PURFLUX)</t>
  </si>
  <si>
    <t>Nissan Qashqai 1.6 , X-Trail 2.0 16V</t>
  </si>
  <si>
    <t>A1322</t>
  </si>
  <si>
    <t>A1322     (PURFLUX)</t>
  </si>
  <si>
    <t>DAEWOO LANOS 1.4-1.6 97-</t>
  </si>
  <si>
    <t>A1323</t>
  </si>
  <si>
    <t>A1323     (PURFLUX)</t>
  </si>
  <si>
    <t>169.63</t>
  </si>
  <si>
    <t>TOYOTA Land Cruiser 150 3.0 D-4D, Land Cruiser 4.7 V8</t>
  </si>
  <si>
    <t>A1331</t>
  </si>
  <si>
    <t>A1331     (PURFLUX)</t>
  </si>
  <si>
    <t>122.30</t>
  </si>
  <si>
    <t>HYUNDAI Accent III 1.4-1.6i 16V, KIA Rio II 1.5 CRDi, 1.4-1.6i</t>
  </si>
  <si>
    <t>A1335</t>
  </si>
  <si>
    <t>A1335     (PURFLUX)</t>
  </si>
  <si>
    <t>171.49</t>
  </si>
  <si>
    <t>CITROEN C5 1.6HDi 09/04-&gt;, PEUGEOT 407 1.6HDi 05/04-</t>
  </si>
  <si>
    <t>A1339</t>
  </si>
  <si>
    <t>A1339     (PURFLUX)</t>
  </si>
  <si>
    <t>CITROEN C3 1,4/1,6-16v 02/02-&gt;,XSARA Picasso 1,6 05/04-</t>
  </si>
  <si>
    <t>A1342</t>
  </si>
  <si>
    <t>A1342     (PURFLUX) !!заміна для A753</t>
  </si>
  <si>
    <t>153.68</t>
  </si>
  <si>
    <t>CITROEN C5 I 2.0-2.2 Hdi, C8 2.0 16V,  Jumpy 2.0 HDi , FIAT Scudo I 2.0 JTD Ulysse II 2.0 , Ulysse II 2.2 JTD 16V</t>
  </si>
  <si>
    <t>A1344</t>
  </si>
  <si>
    <t>A1344     (PURFLUX)</t>
  </si>
  <si>
    <t>161.48</t>
  </si>
  <si>
    <t>Skoda Fabia II, Roomster 1.2TSI, 1.2TDI, 1.6TDI| Volkswagen Polo 1.2TDI, 1.6TDI</t>
  </si>
  <si>
    <t>A1349</t>
  </si>
  <si>
    <t>A1349     (PURFLUX)</t>
  </si>
  <si>
    <t>137.91</t>
  </si>
  <si>
    <t>A1380</t>
  </si>
  <si>
    <t>A1380     (PURFLUX)</t>
  </si>
  <si>
    <t>188.96</t>
  </si>
  <si>
    <t>A1406</t>
  </si>
  <si>
    <t>A1406     (PURFLUX)</t>
  </si>
  <si>
    <t>212.03</t>
  </si>
  <si>
    <t>Citroen Berlingo III, C3 II, C4, C5 II, DS3| Peugeot 207, 308, 3008,5008,Partner III  1.6HDI</t>
  </si>
  <si>
    <t>A1407</t>
  </si>
  <si>
    <t>A1407     (PURFLUX)</t>
  </si>
  <si>
    <t>381.83</t>
  </si>
  <si>
    <t>A1414</t>
  </si>
  <si>
    <t>A1414     (PURFLUX)</t>
  </si>
  <si>
    <t>SUBARU Forester 2.0 16V, 2.5 XT, Impreza III 1.5 16V-2.5 STI, Legacy IV 2.0-2,5</t>
  </si>
  <si>
    <t>A1453</t>
  </si>
  <si>
    <t>A1453     (PURFLUX)</t>
  </si>
  <si>
    <t>161.82</t>
  </si>
  <si>
    <t>HYUNDAI Santa Fe II 2.0 CRDi 10-, Sorento 2.2CRDi</t>
  </si>
  <si>
    <t>A1454</t>
  </si>
  <si>
    <t>A1454     (PURFLUX)</t>
  </si>
  <si>
    <t>SSANGYONG Actyon 2.0 Xdi,  2.3i,  Kyron 2.7 Xdi</t>
  </si>
  <si>
    <t>A1455</t>
  </si>
  <si>
    <t>A1455     (PURFLUX)</t>
  </si>
  <si>
    <t>ALFA  MiTo 1.3 JTD M-jet, FIAT Doblo 1.3 JTD Mjet, Fiorino II 1.3 JTD,</t>
  </si>
  <si>
    <t>A1471</t>
  </si>
  <si>
    <t>A1471     (PURFLUX)</t>
  </si>
  <si>
    <t>191.85</t>
  </si>
  <si>
    <t>A1487</t>
  </si>
  <si>
    <t>A1487     (PURFLUX)</t>
  </si>
  <si>
    <t>A1543</t>
  </si>
  <si>
    <t>A1543     (PURFLUX)</t>
  </si>
  <si>
    <t>141.64</t>
  </si>
  <si>
    <t>Hyundai, Kia Cerato 1.5 -2.0 CRDi (аналог A1235)</t>
  </si>
  <si>
    <t>A1548</t>
  </si>
  <si>
    <t>A1548     (PURFLUX)</t>
  </si>
  <si>
    <t>213.22</t>
  </si>
  <si>
    <t>HYUNDAI Accent IV 1.4-1.6 CVVT, KIA Soul 1.6 Gdi, Rio III 1.1 CRDi</t>
  </si>
  <si>
    <t>A1550</t>
  </si>
  <si>
    <t>A1550     (PURFLUX)</t>
  </si>
  <si>
    <t>280.56</t>
  </si>
  <si>
    <t>VW TOUAREG 3.0 V6 TDI, 3,6-4,2 FSI, 10-</t>
  </si>
  <si>
    <t>A1569</t>
  </si>
  <si>
    <t>A1569     (PURFLUX)</t>
  </si>
  <si>
    <t>256.30</t>
  </si>
  <si>
    <t>DACIA Dokker 1.5 dCi, Lodgy 1.5 dCi, Logan II 1.5 dCi /LX3542/</t>
  </si>
  <si>
    <t>A1739</t>
  </si>
  <si>
    <t>A1739     (PURFLUX)</t>
  </si>
  <si>
    <t>316.18</t>
  </si>
  <si>
    <t>BMW 518 d (F10/F11), 520 d xDrive (F10/F11), X4 20 d xDrive (F26) 14- /LX4084/</t>
  </si>
  <si>
    <t>A214</t>
  </si>
  <si>
    <t>A214     (PURFLUX)</t>
  </si>
  <si>
    <t>87.19</t>
  </si>
  <si>
    <t>A222</t>
  </si>
  <si>
    <t>A222     (PURFLUX)</t>
  </si>
  <si>
    <t>111.44</t>
  </si>
  <si>
    <t>CITROEN BERLINGO 1.8D, 1.9D 96-, FIAT DUCATO 1.9D (DJU D9B) 98-02</t>
  </si>
  <si>
    <t>A223</t>
  </si>
  <si>
    <t>A223     (PURFLUX)</t>
  </si>
  <si>
    <t>86.85</t>
  </si>
  <si>
    <t>PEUGEOT/CITROEN BERLINGO 1.8i 97-, RENAULT KANGOO 1.4i 98-</t>
  </si>
  <si>
    <t>A236</t>
  </si>
  <si>
    <t>A236     (PURFLUX)</t>
  </si>
  <si>
    <t>195.07</t>
  </si>
  <si>
    <t>AUDI 100 (2.4D, 2.5TDI 91-94), A6 (2.5TDI 94-97)</t>
  </si>
  <si>
    <t>A302</t>
  </si>
  <si>
    <t>A302     (PURFLUX)</t>
  </si>
  <si>
    <t>112.97</t>
  </si>
  <si>
    <t>MAZDA 626 1.8i 91-99, 2.0 91-, MX 6 92-, MX 5 98-</t>
  </si>
  <si>
    <t>A310</t>
  </si>
  <si>
    <t>A310     (PURFLUX)</t>
  </si>
  <si>
    <t>A313</t>
  </si>
  <si>
    <t>A313     (PURFLUX)</t>
  </si>
  <si>
    <t>NISSAN MICRA MICRA II, III 1.0-1.4 16v,  92 -10,  NOTE I (E11) 06 -</t>
  </si>
  <si>
    <t>A325</t>
  </si>
  <si>
    <t>A325     (PURFLUX)</t>
  </si>
  <si>
    <t>115.01</t>
  </si>
  <si>
    <t>BMW 535i, 540i, 735i,96-, AUDI A4, VW PASSAT 1.6, 1.8, 1.8T, 2.3, 1.9TDI 96-</t>
  </si>
  <si>
    <t>A379</t>
  </si>
  <si>
    <t>A379     (PURFLUX)</t>
  </si>
  <si>
    <t>144.86</t>
  </si>
  <si>
    <t>VW GOLF, AUDI A3, SKODA OCTAVIA 1.8, 1.8T, 1.9TDI/SDI 96-</t>
  </si>
  <si>
    <t>A460</t>
  </si>
  <si>
    <t>A460     (PURFLUX)</t>
  </si>
  <si>
    <t>102.96</t>
  </si>
  <si>
    <t>A515</t>
  </si>
  <si>
    <t>A515     (PURFLUX)</t>
  </si>
  <si>
    <t>100.59</t>
  </si>
  <si>
    <t>A521</t>
  </si>
  <si>
    <t>A521     (PURFLUX)</t>
  </si>
  <si>
    <t>96.01</t>
  </si>
  <si>
    <t>OPEL ASCONA, KADETT, REKORD 1.4-1.9  72-94</t>
  </si>
  <si>
    <t>A838</t>
  </si>
  <si>
    <t>A838     (PURFLUX)</t>
  </si>
  <si>
    <t>85.15</t>
  </si>
  <si>
    <t>A893</t>
  </si>
  <si>
    <t>A893     (PURFLUX)</t>
  </si>
  <si>
    <t>123.15</t>
  </si>
  <si>
    <t>CITROEN XM 89-00, PEUGEOT 605 89-99 (All eng)</t>
  </si>
  <si>
    <t>A944</t>
  </si>
  <si>
    <t>A944     (PURFLUX)</t>
  </si>
  <si>
    <t>125.18</t>
  </si>
  <si>
    <t>AUDI 100 2.0, 2.3, 2.8 91-94, A6 1.8-2.8 94-97</t>
  </si>
  <si>
    <t>AH104</t>
  </si>
  <si>
    <t>AH104     (PURFLUX)</t>
  </si>
  <si>
    <t>73.45</t>
  </si>
  <si>
    <t>AH137-2</t>
  </si>
  <si>
    <t>AH137-2     (PURFLUX)</t>
  </si>
  <si>
    <t>149.44</t>
  </si>
  <si>
    <t>MB W210/W220</t>
  </si>
  <si>
    <t>AH138</t>
  </si>
  <si>
    <t>AH138     (PURFLUX)</t>
  </si>
  <si>
    <t>MB W202 94-00, W210 95-02</t>
  </si>
  <si>
    <t>AH143</t>
  </si>
  <si>
    <t>AH143     (PURFLUX)</t>
  </si>
  <si>
    <t>AH147</t>
  </si>
  <si>
    <t>AH147     (PURFLUX)</t>
  </si>
  <si>
    <t>AH158</t>
  </si>
  <si>
    <t>AH158     (PURFLUX)</t>
  </si>
  <si>
    <t>189.81</t>
  </si>
  <si>
    <t>AH159</t>
  </si>
  <si>
    <t>AH159     (PURFLUX)</t>
  </si>
  <si>
    <t>316.69</t>
  </si>
  <si>
    <t>MB VITO 96-</t>
  </si>
  <si>
    <t>AH160</t>
  </si>
  <si>
    <t>AH160     (PURFLUX)</t>
  </si>
  <si>
    <t>124.34</t>
  </si>
  <si>
    <t>TOYOTA  LAND CRUISER (J120) PRADO</t>
  </si>
  <si>
    <t>AH170</t>
  </si>
  <si>
    <t>AH170     (PURFLUX)</t>
  </si>
  <si>
    <t>110.93</t>
  </si>
  <si>
    <t>OPEL ASTRA 02/98-, ZAFIRA 04/99-, CHEVI NIVA (DELPHI-HOUSING)  (угольный)</t>
  </si>
  <si>
    <t>AH182</t>
  </si>
  <si>
    <t>AH182     (PURFLUX)</t>
  </si>
  <si>
    <t>AH184</t>
  </si>
  <si>
    <t>AH184     (PURFLUX)</t>
  </si>
  <si>
    <t>129.59</t>
  </si>
  <si>
    <t>AUDI A4 (8E2, B6), A6(4B, C5) All eng.  97 -08</t>
  </si>
  <si>
    <t>AH186</t>
  </si>
  <si>
    <t>AH186     (PURFLUX)</t>
  </si>
  <si>
    <t>222.38</t>
  </si>
  <si>
    <t>AH189</t>
  </si>
  <si>
    <t>AH189     (PURFLUX)</t>
  </si>
  <si>
    <t>111.78</t>
  </si>
  <si>
    <t>TOYOTA Avensis II 1.8 -2.4 16V VVT-I, Corolla IX1.6- 1.8 16V, Corolla Verso 2.2 D-4D</t>
  </si>
  <si>
    <t>AH191</t>
  </si>
  <si>
    <t>AH191     (PURFLUX)</t>
  </si>
  <si>
    <t>126.71</t>
  </si>
  <si>
    <t>AUDI A2 00-, SKODA FABIA 99-</t>
  </si>
  <si>
    <t>AH194</t>
  </si>
  <si>
    <t>AH194     (PURFLUX)</t>
  </si>
  <si>
    <t>AH195</t>
  </si>
  <si>
    <t>AH195     (PURFLUX)</t>
  </si>
  <si>
    <t>133.16</t>
  </si>
  <si>
    <t>AH199</t>
  </si>
  <si>
    <t>AH199     (PURFLUX)</t>
  </si>
  <si>
    <t>230.52</t>
  </si>
  <si>
    <t>AH201</t>
  </si>
  <si>
    <t>AH201     (PURFLUX)</t>
  </si>
  <si>
    <t>117.55</t>
  </si>
  <si>
    <t>AH207</t>
  </si>
  <si>
    <t>AH207     (PURFLUX)</t>
  </si>
  <si>
    <t>145.88</t>
  </si>
  <si>
    <t>MICRA/NOTE/MODUS 03-</t>
  </si>
  <si>
    <t>AH209</t>
  </si>
  <si>
    <t>AH209     (PURFLUX)</t>
  </si>
  <si>
    <t>143.33</t>
  </si>
  <si>
    <t>AUDI Q7, Porsche, VW Toureg , T5, Amarok  2.0-3.0 TDI , 3.6-4.2V6</t>
  </si>
  <si>
    <t>AH212</t>
  </si>
  <si>
    <t>AH212     (PURFLUX)</t>
  </si>
  <si>
    <t>FORD Focus C-Max 10/03-&gt;/S-Max 05/06-&gt;/Galaxy 05/06-&gt;, VOLVO S40 II 01/04-&gt;/V50 04/04-&gt;</t>
  </si>
  <si>
    <t>AH221</t>
  </si>
  <si>
    <t>AH221     (PURFLUX)</t>
  </si>
  <si>
    <t>146.22</t>
  </si>
  <si>
    <t>HONDA Accord VIII 2.0/2.4 2/03-&gt;, TOYOTA Avensis T25 1.8 4/03-</t>
  </si>
  <si>
    <t>AH223</t>
  </si>
  <si>
    <t>AH223     (PURFLUX)</t>
  </si>
  <si>
    <t>173.53</t>
  </si>
  <si>
    <t>CITROEN C1 1.0/1.4/HDI 06/05-&gt;.PEUGEOT 107 1.0/1.4/HDI 06/05-&gt;.TOYOTA Aygo 1.0/1.4/HDI 07/05-</t>
  </si>
  <si>
    <t>AH234</t>
  </si>
  <si>
    <t>AH234     (PURFLUX)</t>
  </si>
  <si>
    <t>151.81</t>
  </si>
  <si>
    <t>RENAULT Grand Scenic 04-&gt;,Megane Scenic II 03-</t>
  </si>
  <si>
    <t>AH238</t>
  </si>
  <si>
    <t>AH238     (PURFLUX)</t>
  </si>
  <si>
    <t>158.60</t>
  </si>
  <si>
    <t>AH244</t>
  </si>
  <si>
    <t>AH244     (PURFLUX)</t>
  </si>
  <si>
    <t>AH245-2</t>
  </si>
  <si>
    <t>AH245-2     (PURFLUX)</t>
  </si>
  <si>
    <t>PEUGEOT 207 1.4-1.6  07 -, 208  12 -, Citroen C3 II 1.0-1.6 09 -,</t>
  </si>
  <si>
    <t>AH248</t>
  </si>
  <si>
    <t>AH248     (PURFLUX)</t>
  </si>
  <si>
    <t>KIA i40, Rio II,III, Sportage 06-, Tucson -10</t>
  </si>
  <si>
    <t>AH256</t>
  </si>
  <si>
    <t>AH256     (PURFLUX)</t>
  </si>
  <si>
    <t>107.03</t>
  </si>
  <si>
    <t>AH261-2</t>
  </si>
  <si>
    <t>AH261-2     (PURFLUX)</t>
  </si>
  <si>
    <t>214.91</t>
  </si>
  <si>
    <t>CITROEN Berlingo II 1.6 16V, C4 II Picasso 1.6 -2.0 16V</t>
  </si>
  <si>
    <t>AH263</t>
  </si>
  <si>
    <t>AH263     (PURFLUX)</t>
  </si>
  <si>
    <t>AH280</t>
  </si>
  <si>
    <t>AH280     (PURFLUX)</t>
  </si>
  <si>
    <t>213.90</t>
  </si>
  <si>
    <t>MB Viano, VITO II (639) 09/03 -</t>
  </si>
  <si>
    <t>AH286</t>
  </si>
  <si>
    <t>AH286     (PURFLUX)</t>
  </si>
  <si>
    <t>Chevrolet Orlando,Aveo, Cruze 11-,  OPEL Insignia, Astra 08-</t>
  </si>
  <si>
    <t>AH319</t>
  </si>
  <si>
    <t>AH319     (PURFLUX)</t>
  </si>
  <si>
    <t>Citroen C2,C3,C4  1.1-1.6, Peugeot 307,308  02-</t>
  </si>
  <si>
    <t>AH347</t>
  </si>
  <si>
    <t>AH347     (PURFLUX)</t>
  </si>
  <si>
    <t>155.04</t>
  </si>
  <si>
    <t>CHEVROLET AVEO 02-</t>
  </si>
  <si>
    <t>AH378</t>
  </si>
  <si>
    <t>AH378     (PURFLUX)</t>
  </si>
  <si>
    <t>AH405</t>
  </si>
  <si>
    <t>AH405     (PURFLUX)</t>
  </si>
  <si>
    <t>DACIA Logan II , Sandero II , RENAULT Clio IV  /E3914LI/</t>
  </si>
  <si>
    <t>AHC128</t>
  </si>
  <si>
    <t>AHC128     (PURFLUX)</t>
  </si>
  <si>
    <t>129.25</t>
  </si>
  <si>
    <t>OPEL OMEGA B 94- 03</t>
  </si>
  <si>
    <t>AHC191</t>
  </si>
  <si>
    <t>AHC191     (PURFLUX)</t>
  </si>
  <si>
    <t>AUDI A2 1.2-1.6/TDI 02/00-08/05.MERCEDES W463 2.7-5.0/CDI 09/94-&gt;.SEAT Cordoba 1.2-2.0/TDI/12V/16V 09/02-&gt;/ Ibiza IV 1.2-1.9/TDI/16V/12V 02/02-&gt;.SKODA Fabia 1.2-2.0/TDI/16V 12/99-</t>
  </si>
  <si>
    <t>AHC195</t>
  </si>
  <si>
    <t>AHC195     (PURFLUX)</t>
  </si>
  <si>
    <t>AHC208</t>
  </si>
  <si>
    <t>AHC208     (PURFLUX)</t>
  </si>
  <si>
    <t>MAZDA 6  02- угольный</t>
  </si>
  <si>
    <t>AHC213</t>
  </si>
  <si>
    <t>AHC213     (PURFLUX)</t>
  </si>
  <si>
    <t>CITROEN C5 04-, PEUGEOT 407 04-</t>
  </si>
  <si>
    <t>AHC237</t>
  </si>
  <si>
    <t>AHC237     (PURFLUX)</t>
  </si>
  <si>
    <t>238.49</t>
  </si>
  <si>
    <t>MB A-class (W169)  04-</t>
  </si>
  <si>
    <t>AHC258</t>
  </si>
  <si>
    <t>AHC258     (PURFLUX)</t>
  </si>
  <si>
    <t>212.20</t>
  </si>
  <si>
    <t>FIAT Scudo II  07-</t>
  </si>
  <si>
    <t>AHC261-2</t>
  </si>
  <si>
    <t>AHC261-2     (PURFLUX)</t>
  </si>
  <si>
    <t>275.64</t>
  </si>
  <si>
    <t>CITROEN Berlingo II 1.6 16V, C4 II Picasso 1.6 Vti, DS5 1.6 Hdi, PEUGEOT 3008, 5008 1.6-2.0 HDi 16V, Partner II , Partner Tepee 1.6 , 1.6 Hdi</t>
  </si>
  <si>
    <t>AHC281</t>
  </si>
  <si>
    <t>AHC281     (PURFLUX)</t>
  </si>
  <si>
    <t>172.85</t>
  </si>
  <si>
    <t>Renault Megane III 1.5-2.0 08-</t>
  </si>
  <si>
    <t>AHC299</t>
  </si>
  <si>
    <t>AHC299     (PURFLUX)</t>
  </si>
  <si>
    <t>252.23</t>
  </si>
  <si>
    <t>AHC319</t>
  </si>
  <si>
    <t>AHC319     (PURFLUX)</t>
  </si>
  <si>
    <t>228.32</t>
  </si>
  <si>
    <t>Citr. C2,C3,C4, Peug 307,308</t>
  </si>
  <si>
    <t>AHC391</t>
  </si>
  <si>
    <t>AHC391     (PURFLUX)</t>
  </si>
  <si>
    <t>242.22</t>
  </si>
  <si>
    <t>FORD C-Max II, Focus III, Kuga II</t>
  </si>
  <si>
    <t>C422</t>
  </si>
  <si>
    <t>C422     (PURFLUX)</t>
  </si>
  <si>
    <t>100.93</t>
  </si>
  <si>
    <t>C443</t>
  </si>
  <si>
    <t>C443     (PURFLUX)</t>
  </si>
  <si>
    <t>C446</t>
  </si>
  <si>
    <t>C446     (PURFLUX)</t>
  </si>
  <si>
    <t>C481</t>
  </si>
  <si>
    <t>C481     (PURFLUX)</t>
  </si>
  <si>
    <t>RENAULT Clio II,Kangoo I, Laguna, Megane I 1.9D,  95 -03</t>
  </si>
  <si>
    <t>C482</t>
  </si>
  <si>
    <t>C482     (PURFLUX)</t>
  </si>
  <si>
    <t>C485</t>
  </si>
  <si>
    <t>C485     (PURFLUX)</t>
  </si>
  <si>
    <t>112.63</t>
  </si>
  <si>
    <t>MB C, E, ML, S-classe  -  CDi</t>
  </si>
  <si>
    <t>C488</t>
  </si>
  <si>
    <t>C488     (PURFLUX)</t>
  </si>
  <si>
    <t>334.33</t>
  </si>
  <si>
    <t>LT 2.8 TDi 28, 35, 46,  03-09</t>
  </si>
  <si>
    <t>C489</t>
  </si>
  <si>
    <t>C489     (PURFLUX)</t>
  </si>
  <si>
    <t>221.19</t>
  </si>
  <si>
    <t>CITRO?N C4, C5, C8  08/04 - FIAT, FORD 10/03 -</t>
  </si>
  <si>
    <t>C491</t>
  </si>
  <si>
    <t>C491     (PURFLUX)</t>
  </si>
  <si>
    <t>178.78</t>
  </si>
  <si>
    <t>C492</t>
  </si>
  <si>
    <t>C492     (PURFLUX)</t>
  </si>
  <si>
    <t>226.11</t>
  </si>
  <si>
    <t>C493E</t>
  </si>
  <si>
    <t>C493E     (PURFLUX)</t>
  </si>
  <si>
    <t>RENAULT, NISSAN 1.9-2.5dCi 97-</t>
  </si>
  <si>
    <t>C495E</t>
  </si>
  <si>
    <t>C495E     (PURFLUX)</t>
  </si>
  <si>
    <t>216.78</t>
  </si>
  <si>
    <t>SCUDO I  -12/06, ULYSSE I,  II  - 06/11, JUMPY I 94 -, C5 2.0-2.2 Hdi 04 -</t>
  </si>
  <si>
    <t>C496</t>
  </si>
  <si>
    <t>C496     (PURFLUX)</t>
  </si>
  <si>
    <t>TRAFIC II 03/01 -, VIVARO 08/01 -</t>
  </si>
  <si>
    <t>C505</t>
  </si>
  <si>
    <t>C505     (PURFLUX)</t>
  </si>
  <si>
    <t>359.27</t>
  </si>
  <si>
    <t>KX178DEco , Audi A3 1.9-2.0Tdi, 03 - 12, Skoda OCTAVIA II (1Z3) 04 -10,  VW Caddy/GolfV/Touran 1.9-2.0TDi 03-</t>
  </si>
  <si>
    <t>C507A</t>
  </si>
  <si>
    <t>C507A     (PURFLUX)</t>
  </si>
  <si>
    <t>327.04</t>
  </si>
  <si>
    <t>Chevrolet Captiva I 2.0 CDTi,  FIAT Doblo 1.3 JTD Multijet 16V, Ducato 2.0-3.0 JTD Multijet , Astra H</t>
  </si>
  <si>
    <t>C511</t>
  </si>
  <si>
    <t>C511     (PURFLUX)</t>
  </si>
  <si>
    <t>OPEL OMEGA, VECTRA, ZAFIRA  2.0DTI, 2.2DTI 96-</t>
  </si>
  <si>
    <t>C514</t>
  </si>
  <si>
    <t>C514     (PURFLUX)</t>
  </si>
  <si>
    <t>FORD Focus II, Mondeo IV, C-Max I 1.8 TDCi</t>
  </si>
  <si>
    <t>C515</t>
  </si>
  <si>
    <t>C515     (PURFLUX)</t>
  </si>
  <si>
    <t>333.14</t>
  </si>
  <si>
    <t>C518</t>
  </si>
  <si>
    <t>C518     (PURFLUX)</t>
  </si>
  <si>
    <t>276.49</t>
  </si>
  <si>
    <t>VAG A3/ EOS/ GolF V/ JETTA III/ TOURAN/ Octavia 1.9TDI/ 2.0TDI 02/ 03-</t>
  </si>
  <si>
    <t>C519</t>
  </si>
  <si>
    <t>C519     (PURFLUX)</t>
  </si>
  <si>
    <t>RENAULT Master IV 2.3 CDTi</t>
  </si>
  <si>
    <t>C526</t>
  </si>
  <si>
    <t>C526     (PURFLUX)</t>
  </si>
  <si>
    <t>310.92</t>
  </si>
  <si>
    <t>CITROEN C4 II 2.0 HDi 16V, DS5 2.0 Hdi, FIAT Scudo II 2.0 JTD, PEUGEOT 308,407, 5008</t>
  </si>
  <si>
    <t>C529</t>
  </si>
  <si>
    <t>C529     (PURFLUX)</t>
  </si>
  <si>
    <t>662.05</t>
  </si>
  <si>
    <t>VW Touareg 3.0 V6 TDI 11/04-, AUDI Q7 3.0TDI quattro 03/06-</t>
  </si>
  <si>
    <t>CS157A</t>
  </si>
  <si>
    <t>CS157A     (PURFLUX)</t>
  </si>
  <si>
    <t>61.74</t>
  </si>
  <si>
    <t>FIAT DUCATO 2.5TD -94, CITROEN/PEUGEOT 1.9D/TD, 2.5D/TD 94-</t>
  </si>
  <si>
    <t>CS264</t>
  </si>
  <si>
    <t>CS264     (PURFLUX)</t>
  </si>
  <si>
    <t>ALFA ROMEO/FIAT BRAVA,BRAVO,MAREA,PUNTO 1.9D/JTD 97-</t>
  </si>
  <si>
    <t>CS435A</t>
  </si>
  <si>
    <t>CS435A     (PURFLUX)</t>
  </si>
  <si>
    <t>MB W201,W124,W202,W210,T1,T2,SPRINTER,VITO</t>
  </si>
  <si>
    <t>CS437</t>
  </si>
  <si>
    <t>CS437     (PURFLUX)</t>
  </si>
  <si>
    <t>161.14</t>
  </si>
  <si>
    <t>CS439</t>
  </si>
  <si>
    <t>CS439     (PURFLUX)</t>
  </si>
  <si>
    <t>NISSAN diesel engines, FORD MAVERIC 2.7TD -98</t>
  </si>
  <si>
    <t>CS456</t>
  </si>
  <si>
    <t>CS456     (PURFLUX)</t>
  </si>
  <si>
    <t>277.34</t>
  </si>
  <si>
    <t>KC69  AUDI 80,100,A4,A6  1.6-2.5 D eng. 91-</t>
  </si>
  <si>
    <t>CS465</t>
  </si>
  <si>
    <t>CS465     (PURFLUX)</t>
  </si>
  <si>
    <t>CS484</t>
  </si>
  <si>
    <t>CS484     (PURFLUX)</t>
  </si>
  <si>
    <t>CS490</t>
  </si>
  <si>
    <t>CS490     (PURFLUX)</t>
  </si>
  <si>
    <t>BOXER/DUCATO 1.9-2.8 JTD</t>
  </si>
  <si>
    <t>CS499</t>
  </si>
  <si>
    <t>CS499     (PURFLUX)</t>
  </si>
  <si>
    <t>246.63</t>
  </si>
  <si>
    <t>CS702</t>
  </si>
  <si>
    <t>CS702     (PURFLUX)</t>
  </si>
  <si>
    <t>263.60</t>
  </si>
  <si>
    <t>CS707</t>
  </si>
  <si>
    <t>CS707     (PURFLUX)</t>
  </si>
  <si>
    <t>347.22</t>
  </si>
  <si>
    <t>MB VITO 108CDI-112CDI 99-, SPRINTER CDI 00- (з датчиком)</t>
  </si>
  <si>
    <t>CS717</t>
  </si>
  <si>
    <t>CS717     (PURFLUX)</t>
  </si>
  <si>
    <t>392.00</t>
  </si>
  <si>
    <t>KC195, ALFA ROMEO 147, 156, 166 1.9-2.4 JTD -07,  FIAT Doblo, Ducato, Stilo 1.9-2.8JTD  02-</t>
  </si>
  <si>
    <t>CS736</t>
  </si>
  <si>
    <t>CS736     (PURFLUX)</t>
  </si>
  <si>
    <t>437.97</t>
  </si>
  <si>
    <t>CS739</t>
  </si>
  <si>
    <t>CS739     (PURFLUX)</t>
  </si>
  <si>
    <t>201.01</t>
  </si>
  <si>
    <t>SPORTAGE/TUCSON 2.0 CRDI, i20, i30,  1.4-1.6CRDi 08-</t>
  </si>
  <si>
    <t>CS762</t>
  </si>
  <si>
    <t>CS762     (PURFLUX)</t>
  </si>
  <si>
    <t>353.33</t>
  </si>
  <si>
    <t>Citroen  Berlingo II, C3, C4 1.6 HDi 16V, Peugeot 206, 308 1,4-1,6 HDI, Partner II 1.6 HDi</t>
  </si>
  <si>
    <t>CS767</t>
  </si>
  <si>
    <t>CS767     (PURFLUX)</t>
  </si>
  <si>
    <t>Hyundai, KIA CRDI -eng. 06-</t>
  </si>
  <si>
    <t>CS773</t>
  </si>
  <si>
    <t>CS773     (PURFLUX)</t>
  </si>
  <si>
    <t>530.93</t>
  </si>
  <si>
    <t>TRANSIT 06-  2.4 TDCI (кріплення / H305WK)</t>
  </si>
  <si>
    <t>EP163</t>
  </si>
  <si>
    <t>EP163     (PURFLUX)</t>
  </si>
  <si>
    <t>121.11</t>
  </si>
  <si>
    <t>Lanos 1.5, Lacetti 1.6, 1.8,  OPEL Corsa 1.2-1.6  93-, Omega B 2.0-3.2 94-, VECTRA 1.6-2.6 95-</t>
  </si>
  <si>
    <t>EP165</t>
  </si>
  <si>
    <t>EP165     (PURFLUX)</t>
  </si>
  <si>
    <t>225.60</t>
  </si>
  <si>
    <t>BMW 3,5,7,8 - series 2.0-4.0 бензин 92-</t>
  </si>
  <si>
    <t>EP180</t>
  </si>
  <si>
    <t>EP180     (PURFLUX)</t>
  </si>
  <si>
    <t>SUBARU LEGACY, IMPREZA (all engines) 89-</t>
  </si>
  <si>
    <t>EP189</t>
  </si>
  <si>
    <t>EP189     (PURFLUX)</t>
  </si>
  <si>
    <t>538.90</t>
  </si>
  <si>
    <t>MB W210 (E280-E430) 96-, W220 (S280-S600) (M112., M113., M137. - engines) 96-</t>
  </si>
  <si>
    <t>EP192</t>
  </si>
  <si>
    <t>EP192     (PURFLUX)</t>
  </si>
  <si>
    <t>123.49</t>
  </si>
  <si>
    <t>EP199</t>
  </si>
  <si>
    <t>EP199     (PURFLUX)</t>
  </si>
  <si>
    <t>164.37</t>
  </si>
  <si>
    <t>FORD FIESTA 1.25-1.6  01-, FUSION 02-</t>
  </si>
  <si>
    <t>EP202</t>
  </si>
  <si>
    <t>EP202     (PURFLUX)</t>
  </si>
  <si>
    <t>Citro?n| Dacia| Fiat| Lancia, Peugeot 06-</t>
  </si>
  <si>
    <t>EP207</t>
  </si>
  <si>
    <t>EP207     (PURFLUX)</t>
  </si>
  <si>
    <t>349.26</t>
  </si>
  <si>
    <t>VAG FCI/TFCI  05-</t>
  </si>
  <si>
    <t>EP210</t>
  </si>
  <si>
    <t>EP210     (PURFLUX)</t>
  </si>
  <si>
    <t>102.11</t>
  </si>
  <si>
    <t>Kangoo, Laguna, Megane I,II,III, Scenic, Dacia Logan 99-</t>
  </si>
  <si>
    <t>EP220</t>
  </si>
  <si>
    <t>EP220     (PURFLUX)</t>
  </si>
  <si>
    <t>VAZ 1.5i 8v/16v  (2109, 2110-12), ROVER 216,218,414,416  95-00,  25, 45 all petrol eng. 99-</t>
  </si>
  <si>
    <t>EP90C</t>
  </si>
  <si>
    <t>EP90C     (PURFLUX)</t>
  </si>
  <si>
    <t>127.56</t>
  </si>
  <si>
    <t>BMW 3 (E36) 87-98, 5 (E34) 87 - 95 (M10,M20,M40,M43)</t>
  </si>
  <si>
    <t>EP91</t>
  </si>
  <si>
    <t>EP91     (PURFLUX)</t>
  </si>
  <si>
    <t>169.96</t>
  </si>
  <si>
    <t>FCS412B</t>
  </si>
  <si>
    <t>FCS412B     (PURFLUX)</t>
  </si>
  <si>
    <t>203.55</t>
  </si>
  <si>
    <t>VW GOLF,JETTA 1.6D/TD -91, HONDA ACCORD VII, CIVIC VI 2.0D,  94-01</t>
  </si>
  <si>
    <t>FCS412BV</t>
  </si>
  <si>
    <t>FCS412BV     (PURFLUX)</t>
  </si>
  <si>
    <t>194.22</t>
  </si>
  <si>
    <t>VW GOLF III, IV 1.6-1.9td -02, JETTA II -92, LT 28-35  2.4d 75 - 96</t>
  </si>
  <si>
    <t>FCS477</t>
  </si>
  <si>
    <t>FCS477     (PURFLUX)</t>
  </si>
  <si>
    <t>210.00</t>
  </si>
  <si>
    <t>FORD, SSANGYONG diesel engines  98-</t>
  </si>
  <si>
    <t>FCS479</t>
  </si>
  <si>
    <t>FCS479     (PURFLUX)</t>
  </si>
  <si>
    <t>439.16</t>
  </si>
  <si>
    <t>BMW (E39, E46)2.5-3.0D  - 05, X5 3.0D 00-</t>
  </si>
  <si>
    <t>FCS706</t>
  </si>
  <si>
    <t>FCS706     (PURFLUX)</t>
  </si>
  <si>
    <t>383.52</t>
  </si>
  <si>
    <t>VW/AUDI/SKODA  2.5TDI 97-</t>
  </si>
  <si>
    <t>FCS709</t>
  </si>
  <si>
    <t>FCS709     (PURFLUX)</t>
  </si>
  <si>
    <t>831.67</t>
  </si>
  <si>
    <t>FCS710</t>
  </si>
  <si>
    <t>FCS710     (PURFLUX)</t>
  </si>
  <si>
    <t>517.87</t>
  </si>
  <si>
    <t>FORD Focus II/C-Max 1.6 TDCi 03-, PEUGEOT 206/307/407 04-, CITROEN C4/C5 04-</t>
  </si>
  <si>
    <t>FCS722</t>
  </si>
  <si>
    <t>FCS722     (PURFLUX)</t>
  </si>
  <si>
    <t>834.39</t>
  </si>
  <si>
    <t>Alfa Romeo, Fiat, Lancia 1.3JTDM, 1.6JTDM, 1.9JTDM| 2.0JTDM, 2.4JTDM  (77363657, WF8408)</t>
  </si>
  <si>
    <t>FCS723</t>
  </si>
  <si>
    <t>FCS723     (PURFLUX)</t>
  </si>
  <si>
    <t>651.19</t>
  </si>
  <si>
    <t>Fiat Doblo 1.9JTD 8V (100HP), Punto II 1.3MJTD 16V (75HP) 9/05-</t>
  </si>
  <si>
    <t>FCS724</t>
  </si>
  <si>
    <t>FCS724     (PURFLUX)</t>
  </si>
  <si>
    <t>397.26</t>
  </si>
  <si>
    <t>BMW 118 d (E81/E82/E87/E88),  -08, 320 d (E90/E91/E92/E93) -10, 530 d (E60/E61)</t>
  </si>
  <si>
    <t>FCS727</t>
  </si>
  <si>
    <t>FCS727     (PURFLUX)</t>
  </si>
  <si>
    <t>503.79</t>
  </si>
  <si>
    <t>RENAULT Kangoo II, Twingo II 1.5 dCi, Laguna III 2.0 dCi   -09</t>
  </si>
  <si>
    <t>FCS738</t>
  </si>
  <si>
    <t>FCS738     (PURFLUX)</t>
  </si>
  <si>
    <t>522.61</t>
  </si>
  <si>
    <t>KANGOO II 1.5 dCi 08 -, LAGUNA III 1.5-2.0dCi  07 -</t>
  </si>
  <si>
    <t>FCS740</t>
  </si>
  <si>
    <t>FCS740     (PURFLUX)</t>
  </si>
  <si>
    <t>596.74</t>
  </si>
  <si>
    <t>Megane II 1.5-2.0 dCi,  Megane Scenic II 1.5-2.0 dCi</t>
  </si>
  <si>
    <t>FCS748</t>
  </si>
  <si>
    <t>FCS748     (PURFLUX)</t>
  </si>
  <si>
    <t>KL 430 NISSAN  Almera, Note,Micra 1.5 dCi, RENAULT Clio II, Kangoo I, Symbol I 1.5 dCi,  01-</t>
  </si>
  <si>
    <t>FCS752</t>
  </si>
  <si>
    <t>FCS752     (PURFLUX)</t>
  </si>
  <si>
    <t>581.30</t>
  </si>
  <si>
    <t>RENAULT Kangoo II 1.5 dCi, Laguna III 1.5-3.0 dCi,  05/09-</t>
  </si>
  <si>
    <t>FCS759</t>
  </si>
  <si>
    <t>FCS759     (PURFLUX)</t>
  </si>
  <si>
    <t>397.60</t>
  </si>
  <si>
    <t>Nissan Qashqai 1.5-2.0 dCi, X-Trail 2.0 dCi</t>
  </si>
  <si>
    <t>FCS770</t>
  </si>
  <si>
    <t>FCS770     (PURFLUX)</t>
  </si>
  <si>
    <t>717.85</t>
  </si>
  <si>
    <t>Renault FLUENCE 10 -, MEGANE III 08 - 1,5-1,9dCi</t>
  </si>
  <si>
    <t>FCS771</t>
  </si>
  <si>
    <t>FCS771     (PURFLUX)</t>
  </si>
  <si>
    <t>294.64</t>
  </si>
  <si>
    <t>Ford Torneo Connect I, Transit  Connect I  1.8 TDI 02 -,</t>
  </si>
  <si>
    <t>FCS772A</t>
  </si>
  <si>
    <t>FCS772A     (PURFLUX)</t>
  </si>
  <si>
    <t>478.34</t>
  </si>
  <si>
    <t>RENAULT/DACIA  Duster  1.5DCi  10-</t>
  </si>
  <si>
    <t>FCS783</t>
  </si>
  <si>
    <t>FCS783     (PURFLUX)</t>
  </si>
  <si>
    <t>352.48</t>
  </si>
  <si>
    <t>BMW 1(Е81, Е87, Е88), 5(Е60, Е61), Х3, Х5  04-</t>
  </si>
  <si>
    <t>FCS784</t>
  </si>
  <si>
    <t>FCS784     (PURFLUX)</t>
  </si>
  <si>
    <t>499.38</t>
  </si>
  <si>
    <t>MB 3 / 3,5-Serie Sprinter 09- / W204 / W212 08-</t>
  </si>
  <si>
    <t>L212</t>
  </si>
  <si>
    <t>L212     (PURFLUX)</t>
  </si>
  <si>
    <t>109.07</t>
  </si>
  <si>
    <t>L237</t>
  </si>
  <si>
    <t>L237     (PURFLUX)</t>
  </si>
  <si>
    <t>L244</t>
  </si>
  <si>
    <t>L244     (PURFLUX)</t>
  </si>
  <si>
    <t>BMW 325 TDS 91-99, 525TDS 91-95</t>
  </si>
  <si>
    <t>L264A</t>
  </si>
  <si>
    <t>L264A     (PURFLUX)</t>
  </si>
  <si>
    <t>96.86</t>
  </si>
  <si>
    <t>L267D</t>
  </si>
  <si>
    <t>L267D     (PURFLUX)</t>
  </si>
  <si>
    <t>92.78</t>
  </si>
  <si>
    <t>L270</t>
  </si>
  <si>
    <t>L270     (PURFLUX)</t>
  </si>
  <si>
    <t>127.22</t>
  </si>
  <si>
    <t>L290</t>
  </si>
  <si>
    <t>L290     (PURFLUX)</t>
  </si>
  <si>
    <t>83.96</t>
  </si>
  <si>
    <t>L291</t>
  </si>
  <si>
    <t>L291     (PURFLUX)</t>
  </si>
  <si>
    <t>110.26</t>
  </si>
  <si>
    <t>L292</t>
  </si>
  <si>
    <t>L292     (PURFLUX)</t>
  </si>
  <si>
    <t>118.23</t>
  </si>
  <si>
    <t>L293</t>
  </si>
  <si>
    <t>L293     (PURFLUX)</t>
  </si>
  <si>
    <t>BMW 530i, 540i, 730i, 740i(M60, M62 - engines) 92- (пластиковая крышка)</t>
  </si>
  <si>
    <t>L305</t>
  </si>
  <si>
    <t>L305     (PURFLUX)</t>
  </si>
  <si>
    <t>L310A</t>
  </si>
  <si>
    <t>L310A     (PURFLUX)</t>
  </si>
  <si>
    <t>CITROEN BERLINGO, PEUGEOT PARTNER 1.1i, 1.4i, 1.6i  00-04</t>
  </si>
  <si>
    <t>L311</t>
  </si>
  <si>
    <t>L311     (PURFLUX)</t>
  </si>
  <si>
    <t>L312</t>
  </si>
  <si>
    <t>L312     (PURFLUX)</t>
  </si>
  <si>
    <t>MB W202 (C200D-C250D) -00, W210 (E200D-E300D/TD) -99, VITO I 96 - 03</t>
  </si>
  <si>
    <t>L313</t>
  </si>
  <si>
    <t>L313     (PURFLUX)</t>
  </si>
  <si>
    <t>107.88</t>
  </si>
  <si>
    <t>OX133DEco  MB W202 (C180-C280) -00, W124,W210 (E200-E320) 92-97, SPRINTER,VITO бензин 95-</t>
  </si>
  <si>
    <t>L317</t>
  </si>
  <si>
    <t>L317     (PURFLUX)</t>
  </si>
  <si>
    <t>128.41</t>
  </si>
  <si>
    <t>L321</t>
  </si>
  <si>
    <t>L321     (PURFLUX)</t>
  </si>
  <si>
    <t>137.74</t>
  </si>
  <si>
    <t>L330</t>
  </si>
  <si>
    <t>L330     (PURFLUX)</t>
  </si>
  <si>
    <t>82.78</t>
  </si>
  <si>
    <t>FIAT Grande Punto/Idea/Punto, OPEL Astra/Corsa/Agila 1,3JTD 03 -&gt;</t>
  </si>
  <si>
    <t>L332</t>
  </si>
  <si>
    <t>L332     (PURFLUX)</t>
  </si>
  <si>
    <t>L339</t>
  </si>
  <si>
    <t>L339     (PURFLUX)</t>
  </si>
  <si>
    <t>98.04</t>
  </si>
  <si>
    <t>OX360DEco  SKODA Fabia 03-&gt; SEAT Cordoba/Ibiza 02-&gt; VW Polo 02-&gt;</t>
  </si>
  <si>
    <t>L343C</t>
  </si>
  <si>
    <t>L343C     (PURFLUX)</t>
  </si>
  <si>
    <t>L353</t>
  </si>
  <si>
    <t>L353     (PURFLUX)</t>
  </si>
  <si>
    <t>AUDI/VW/SKODA  1.4TFSI -1.6FSI 03-</t>
  </si>
  <si>
    <t>L358A</t>
  </si>
  <si>
    <t>L358A     (PURFLUX)</t>
  </si>
  <si>
    <t>118.74</t>
  </si>
  <si>
    <t>OX339/2DEco  Citroen Berlingo, C3, C4, C5 1.4-1.6, Ford Kuga, Mondeo IV, S-Max  2.0TDCi</t>
  </si>
  <si>
    <t>L362</t>
  </si>
  <si>
    <t>L362     (PURFLUX)</t>
  </si>
  <si>
    <t>156.22</t>
  </si>
  <si>
    <t>AUDI A3/A4 /A6 03-, VW Golf V/Passat/Touran  2.0/FSI 10/03- SKODA AQ1236</t>
  </si>
  <si>
    <t>L364</t>
  </si>
  <si>
    <t>L364     (PURFLUX)</t>
  </si>
  <si>
    <t>OX415DEco  Nissan Patrol, Terrano II 3.0DI, Opel Movano II 3.0, Renault Master III 3.0dCI</t>
  </si>
  <si>
    <t>L366</t>
  </si>
  <si>
    <t>L366     (PURFLUX)</t>
  </si>
  <si>
    <t>MB W211 (E200CDI), W203 (C180 KOMPRESSOR, C200 KOMPRESSOR) 02-</t>
  </si>
  <si>
    <t>L376</t>
  </si>
  <si>
    <t>L376     (PURFLUX)</t>
  </si>
  <si>
    <t>BMW 1 (E81, E87) 03 -12, BMW3 (E90)05 -11, 5 (E60) 03 -10  2.5-3.0i</t>
  </si>
  <si>
    <t>L377</t>
  </si>
  <si>
    <t>L377     (PURFLUX)</t>
  </si>
  <si>
    <t>L387</t>
  </si>
  <si>
    <t>L387     (PURFLUX)</t>
  </si>
  <si>
    <t>108.22</t>
  </si>
  <si>
    <t>Cruze 09 -, Orlando 12/10 -, Aveo II(T300) 03/11 -  1.4-1.8 /OX1058D Eco/</t>
  </si>
  <si>
    <t>L398A</t>
  </si>
  <si>
    <t>L398A     (PURFLUX)</t>
  </si>
  <si>
    <t>L400</t>
  </si>
  <si>
    <t>L400     (PURFLUX)</t>
  </si>
  <si>
    <t>179.29</t>
  </si>
  <si>
    <t>OX553DEco  FIAT, OPEL 1.3DJTD/CDTi  06-</t>
  </si>
  <si>
    <t>L411</t>
  </si>
  <si>
    <t>L411     (PURFLUX)</t>
  </si>
  <si>
    <t>121.45</t>
  </si>
  <si>
    <t>L418</t>
  </si>
  <si>
    <t>L418     (PURFLUX)</t>
  </si>
  <si>
    <t>Audi, Seat, VW 1.6, 2,0 TDi,  07-</t>
  </si>
  <si>
    <t>L419</t>
  </si>
  <si>
    <t>L419     (PURFLUX)</t>
  </si>
  <si>
    <t>56.15</t>
  </si>
  <si>
    <t>L470</t>
  </si>
  <si>
    <t>L470     (PURFLUX)</t>
  </si>
  <si>
    <t>L974</t>
  </si>
  <si>
    <t>L974     (PURFLUX)</t>
  </si>
  <si>
    <t>443.06</t>
  </si>
  <si>
    <t>CHEVROLET Captiva II 2.2 CDTi, Cruze 2.0 CDI, OPEL Antara 2.2 CDTi</t>
  </si>
  <si>
    <t>LS194</t>
  </si>
  <si>
    <t>LS194  !!!Замінено на LS188B (PURFLUX)</t>
  </si>
  <si>
    <t>99.57</t>
  </si>
  <si>
    <t>FIAT Uno 1.6 89-12/95,  ALFA ROMEO 146,155,  1.9 -3.2 , -09 (LS194 replaced by LS188B)</t>
  </si>
  <si>
    <t>LS206</t>
  </si>
  <si>
    <t>LS206     (PURFLUX)</t>
  </si>
  <si>
    <t>57.33</t>
  </si>
  <si>
    <t>Opel, Chevrolet, Daewoo  1.4- 2.4,  82- (аналог W712/22)</t>
  </si>
  <si>
    <t>LS214</t>
  </si>
  <si>
    <t>LS214     (PURFLUX)</t>
  </si>
  <si>
    <t>138.92</t>
  </si>
  <si>
    <t>VW PASSAT,T4,SHARAN,VENTO 1.9TD/TDI 96-</t>
  </si>
  <si>
    <t>LS218</t>
  </si>
  <si>
    <t>LS218     (PURFLUX)</t>
  </si>
  <si>
    <t>87.53</t>
  </si>
  <si>
    <t>RENAULT Kangoo II 1.6 16V,Symbol II 1.4-1.6,  98- ,Megane I-II 1,4-2.0, DACIA Logan 1.4-1.6</t>
  </si>
  <si>
    <t>LS235</t>
  </si>
  <si>
    <t>LS235     (PURFLUX)</t>
  </si>
  <si>
    <t>RENAULT/IVECO/FIAT DUCATO 2.5, 2.8 diesel eng. 82-</t>
  </si>
  <si>
    <t>LS275</t>
  </si>
  <si>
    <t>LS275     (PURFLUX)</t>
  </si>
  <si>
    <t>81.93</t>
  </si>
  <si>
    <t>LS278</t>
  </si>
  <si>
    <t>LS278     (PURFLUX)</t>
  </si>
  <si>
    <t>AUDI A4,A6 95-, VW PASSAT 96-00 1.9TDI (W940/44)</t>
  </si>
  <si>
    <t>LS279</t>
  </si>
  <si>
    <t>LS279     (PURFLUX)</t>
  </si>
  <si>
    <t>190.49</t>
  </si>
  <si>
    <t>Laguna I 2.2 TD -&gt;01 , Master III 2.8 dCi 105, 125,140</t>
  </si>
  <si>
    <t>LS324</t>
  </si>
  <si>
    <t>LS324     (PURFLUX)</t>
  </si>
  <si>
    <t>107.71</t>
  </si>
  <si>
    <t>VW/AUDI 1.6-2.8 бензин 91-, 00-</t>
  </si>
  <si>
    <t>LS325D</t>
  </si>
  <si>
    <t>LS325D     (PURFLUX)</t>
  </si>
  <si>
    <t>92.11</t>
  </si>
  <si>
    <t>VW GOLF,VENTO,POLO,BORA,CADDY 1.4, 1.6 91-/збільш ресурс/</t>
  </si>
  <si>
    <t>LS346</t>
  </si>
  <si>
    <t>LS346     (PURFLUX)</t>
  </si>
  <si>
    <t>ALFA ROMEO/FIAT 1.9, 2.4 D,  97 -09/05</t>
  </si>
  <si>
    <t>LS348</t>
  </si>
  <si>
    <t>LS348     (PURFLUX)</t>
  </si>
  <si>
    <t>FIAT CROMA 2.0iT -96, LANCIA THEMA,DEDRA 2.0i 88-96</t>
  </si>
  <si>
    <t>LS350</t>
  </si>
  <si>
    <t>LS350     (PURFLUX)</t>
  </si>
  <si>
    <t>76.67</t>
  </si>
  <si>
    <t>HONDA  Accord 1.6-3.0i, 83-02, 08-&gt;,Civic 1.4-1.8, 05 -&gt;, FR-V  04 -,  HR-V 1.6 99 -, JAZZ III 08 -</t>
  </si>
  <si>
    <t>LS357</t>
  </si>
  <si>
    <t>LS357     (PURFLUX)</t>
  </si>
  <si>
    <t>FORD Mondeo III,IV, 00-, FocusII  03-, MAZDA 3, 6, CX-7 10.03-</t>
  </si>
  <si>
    <t>LS359</t>
  </si>
  <si>
    <t>LS359     (PURFLUX)</t>
  </si>
  <si>
    <t>LS370</t>
  </si>
  <si>
    <t>LS370     (PURFLUX)</t>
  </si>
  <si>
    <t>62.59</t>
  </si>
  <si>
    <t>OPEL ASTRA G/VECTRA B,C/ZAFIRA 1,6-2,0 00-</t>
  </si>
  <si>
    <t>LS386</t>
  </si>
  <si>
    <t>LS386     (PURFLUX)</t>
  </si>
  <si>
    <t>LS389</t>
  </si>
  <si>
    <t>LS389     (PURFLUX)</t>
  </si>
  <si>
    <t>288.70</t>
  </si>
  <si>
    <t>CITROEN, FIAT, IVECO, PEUGEOT 3.0D/HDi  06- (h=143mm)</t>
  </si>
  <si>
    <t>LS391</t>
  </si>
  <si>
    <t>LS391     (PURFLUX)</t>
  </si>
  <si>
    <t>185.74</t>
  </si>
  <si>
    <t>LS489A</t>
  </si>
  <si>
    <t>LS489A     (PURFLUX)</t>
  </si>
  <si>
    <t>89.56</t>
  </si>
  <si>
    <t>KIA SEED, CERATO I, MAGENTIS II 11/05 -  ISUZU MIDI 2.2D 89-, HYUNDAI 1.5-2.5 90-</t>
  </si>
  <si>
    <t>LS553D</t>
  </si>
  <si>
    <t>LS553D     (PURFLUX)</t>
  </si>
  <si>
    <t>VW/AUDI/SEAT/SKODA 1.4-1.9TD diesel engines</t>
  </si>
  <si>
    <t>LS592A</t>
  </si>
  <si>
    <t>LS592A     (PURFLUX)</t>
  </si>
  <si>
    <t>RENAULT 1.7-3.0 бензин 87-</t>
  </si>
  <si>
    <t>LS702</t>
  </si>
  <si>
    <t>LS702     (PURFLUX)</t>
  </si>
  <si>
    <t>80.40</t>
  </si>
  <si>
    <t>VW/AUDI -97 (аналог W719/5)</t>
  </si>
  <si>
    <t>LS715</t>
  </si>
  <si>
    <t>LS715     (PURFLUX)</t>
  </si>
  <si>
    <t>LS716</t>
  </si>
  <si>
    <t>LS716     (PURFLUX)</t>
  </si>
  <si>
    <t>Nissan NAVARA 2.4i  92-97,  SUNNYII, III 1.7-2.0D  90 -95, ALMERA I 2.0D 95 -00</t>
  </si>
  <si>
    <t>LS740A</t>
  </si>
  <si>
    <t>LS740A     (PURFLUX)</t>
  </si>
  <si>
    <t>LS743</t>
  </si>
  <si>
    <t>LS743     (PURFLUX)</t>
  </si>
  <si>
    <t>74.64</t>
  </si>
  <si>
    <t>TOYOTA CARINA 2.0D 12/87-96, COROLLA 1.8D 07/87-93</t>
  </si>
  <si>
    <t>LS785A</t>
  </si>
  <si>
    <t>LS785A     (PURFLUX)</t>
  </si>
  <si>
    <t>LS867B</t>
  </si>
  <si>
    <t>LS867B     (PURFLUX)</t>
  </si>
  <si>
    <t>OC100,  CITROEN Jamper 2.5TD 94-02 XM 3.0 V6/C5/C8, PEUGEOT 406 -04, 407  3.0i 05-, 605 -99, J5 2.5D -94</t>
  </si>
  <si>
    <t>LS892</t>
  </si>
  <si>
    <t>LS892     (PURFLUX)</t>
  </si>
  <si>
    <t>78.71</t>
  </si>
  <si>
    <t>MAZDA 323 1.6 85-93, 1.5i 94-01</t>
  </si>
  <si>
    <t>LS896</t>
  </si>
  <si>
    <t>LS896     (PURFLUX)</t>
  </si>
  <si>
    <t>SUZUKI Swift II,IV 89-01,10-,DAIHATSU Charade III,IV 1.0-1.5, 87-00, TERIOS I,II 97-05 -, DAEWOO MATIZ 0.8-1.0 98-04-</t>
  </si>
  <si>
    <t>LS900</t>
  </si>
  <si>
    <t>LS900     (PURFLUX)</t>
  </si>
  <si>
    <t>69.04</t>
  </si>
  <si>
    <t>FORD 1.6-2.9 бен. -93, LADA 2101-2107 (MANN: W916/1)</t>
  </si>
  <si>
    <t>LS910</t>
  </si>
  <si>
    <t>LS910     (PURFLUX)</t>
  </si>
  <si>
    <t>89.90</t>
  </si>
  <si>
    <t>Alfa MITO 1.4, 08-, Fiat 500, BRAVO II 06 -, GRANDE PUNTO 1.2,1.4, 05-,  MITSUBISHI ASX 1.6-2.0, 10 -, CARISMA 1.6-1.8, 95 -06, HONDA  ACCORD VIII 2.0-2.4  03 -</t>
  </si>
  <si>
    <t>LS911</t>
  </si>
  <si>
    <t>LS911     (PURFLUX)</t>
  </si>
  <si>
    <t>MITSUBISHI PAJERO 2.8TD 94-00</t>
  </si>
  <si>
    <t>LS918</t>
  </si>
  <si>
    <t>LS918     (PURFLUX)</t>
  </si>
  <si>
    <t>106.52</t>
  </si>
  <si>
    <t>MB W201 (E2.0-E2.6) 85-93, W124 (200E-300E) 86-93</t>
  </si>
  <si>
    <t>LS919</t>
  </si>
  <si>
    <t>LS919     (PURFLUX)</t>
  </si>
  <si>
    <t>106.19</t>
  </si>
  <si>
    <t>FIAT Doblo, Stilo, Bravo 1.9 JTD 01 - 10</t>
  </si>
  <si>
    <t>LS923</t>
  </si>
  <si>
    <t>LS923     (PURFLUX)</t>
  </si>
  <si>
    <t>OC 976,CITRO?N  BERLINGO I 96 -, C4, C5 I,II, 04-, PEUGEOT 208, 307 1.2-2.0, 02-</t>
  </si>
  <si>
    <t>LS932</t>
  </si>
  <si>
    <t>LS932     (PURFLUX)</t>
  </si>
  <si>
    <t>LS933</t>
  </si>
  <si>
    <t>LS933     (PURFLUX)</t>
  </si>
  <si>
    <t>LS934</t>
  </si>
  <si>
    <t>LS934     (PURFLUX)</t>
  </si>
  <si>
    <t>Mazda, Volvo, Ford  1.4- 1.6  04-</t>
  </si>
  <si>
    <t>LS936</t>
  </si>
  <si>
    <t>LS936     (PURFLUX)</t>
  </si>
  <si>
    <t>119.92</t>
  </si>
  <si>
    <t>Hyundai, Kia SORENTO 2.5 CRDI</t>
  </si>
  <si>
    <t>LS937</t>
  </si>
  <si>
    <t>LS937     (PURFLUX)</t>
  </si>
  <si>
    <t>REPSOL</t>
  </si>
  <si>
    <t>RP024C51</t>
  </si>
  <si>
    <t>RP CARTAGO TRACCION INTEGRAL 75W90 CP-1 (12х1Л)</t>
  </si>
  <si>
    <t>307.91</t>
  </si>
  <si>
    <t>трансміссія, синтетика, API GL-5, LSD</t>
  </si>
  <si>
    <t>RP024J55</t>
  </si>
  <si>
    <t>RP CARTAGO EP 90 CP-5 (5x5Л)</t>
  </si>
  <si>
    <t>623.01</t>
  </si>
  <si>
    <t>трансмісія API GL-5 |MB 235.0|MAN 342 M1|VW 727|VOLVO 97310|ZF TE ML-05A/07A/08/16B/16C/17B/19B/21A \n</t>
  </si>
  <si>
    <t>RP024L55</t>
  </si>
  <si>
    <t>RP CARTAGO CAJAS EP 75W90 CP-5 (5х5Л)</t>
  </si>
  <si>
    <t>948.75</t>
  </si>
  <si>
    <t>трансмісія, синтетика, API GL-4 • MIL-L-2105• DAF Transmissions• IVECO Transmissions• ZF TE-ML 08</t>
  </si>
  <si>
    <t>RP024R51</t>
  </si>
  <si>
    <t>RP CARTAGO EP MULTIGRADO 80W90 CP-1 (12х1Л)</t>
  </si>
  <si>
    <t>156.98</t>
  </si>
  <si>
    <t>трансмісія, API GL-5, • MB 235.0• MAN 342 M1• RENAULT Axles• ZF TE-ML 07A/08/16B/16C/17B/19B/21A • VOITH TURBO 132.00374400 (ex 3.325-339)• DAF API GL-5 • MIL-L-2105 D</t>
  </si>
  <si>
    <t>RP024R55</t>
  </si>
  <si>
    <t>RP CARTAGO EP MULTIGRADO 80W90 CP-5 (5х5Л)</t>
  </si>
  <si>
    <t>679.94</t>
  </si>
  <si>
    <t>RP024S55</t>
  </si>
  <si>
    <t>RP CARTAGO EP MULTIGRADO 85W140 CP-5 (5х5Л)</t>
  </si>
  <si>
    <t>629.34</t>
  </si>
  <si>
    <t>трансмісія, API GL-5 • VOLVO 97310 • ZF TE-ML 07A/08/16C/16D/21A • DAF API GL-5 • MIL-L-2105 D</t>
  </si>
  <si>
    <t>RP024U51</t>
  </si>
  <si>
    <t>RP CARTAGO EPM 90 CP-1 (12х1Л)</t>
  </si>
  <si>
    <t>130.53</t>
  </si>
  <si>
    <t>трансмісія, API GL-4, MB 235.1, ZF TE-ML 02A/16A/17A/19A, DAF Transmissions , RENAULT Transmissions, MAN 341 Z1/ 341 E1 ,  VW 726 , IVECO Transmissions</t>
  </si>
  <si>
    <t>RP024U54</t>
  </si>
  <si>
    <t>RP CARTAGO EPM 90 CP-4  (5х4Л)</t>
  </si>
  <si>
    <t>487.60</t>
  </si>
  <si>
    <t>RP026W51</t>
  </si>
  <si>
    <t>RP MATIC ATF CP-1  (12х1Л)</t>
  </si>
  <si>
    <t>161.29</t>
  </si>
  <si>
    <t>трансміссія, ATF,GM DEXRON II D, • MB 236.9, • MAN 339 V-1/339 Z-1, • VOITH H55.6335• ZF TE-ML 03D/04D/11A/14A/17C• ALLISON C-4• FORD MERCON</t>
  </si>
  <si>
    <t>RP026W55</t>
  </si>
  <si>
    <t>RP MATIC ATF CP-5   (5х5Л)</t>
  </si>
  <si>
    <t>724.79</t>
  </si>
  <si>
    <t>RP037M16</t>
  </si>
  <si>
    <t>RP DIESEL TURBO THPD 15W40   B-20  (20Л)</t>
  </si>
  <si>
    <t>2214.33</t>
  </si>
  <si>
    <t>вантажне, мінеральне, API CI-4/CH-4/SL, ACEA E7/E5, MB 228.3, MAN 3275-1, VOLVO VDS-3, RENAULT RLD-2/RLD, MACK EO-N, CUMMINS CES, 20076/20077/20078, CAT ECF-2/ECF-1-a, DEUTZ DQC II-10, DETROIT DIESEL DDC, 93K215</t>
  </si>
  <si>
    <t>RP037M55</t>
  </si>
  <si>
    <t>RP DIESEL TURBO THPD 15W40 CP-5  (5х5Л)</t>
  </si>
  <si>
    <t>606.63</t>
  </si>
  <si>
    <t>RP037N55</t>
  </si>
  <si>
    <t>RP DIESEL TURBO UHPD 10W40  CP-5  (5х5Л)</t>
  </si>
  <si>
    <t>822.54</t>
  </si>
  <si>
    <t>вантажне, синтетика, API CF, ACEA E4/E, MB 228.5, MAN 3277, VOLVO VDS-3, SCANIA LDF-3,RENAULT RLD-2/RXD, MACK EO-N, DAF Extended Drain, MTU Type 3, CUMMINS CES 20072</t>
  </si>
  <si>
    <t>RP037X08</t>
  </si>
  <si>
    <t>RP DIESEL TURBO THPD 10W40 B-208 (208Л)</t>
  </si>
  <si>
    <t>23307.63</t>
  </si>
  <si>
    <t>вантажне, напівсинтетика, API CI-4/SL, ACEA E7, MB 228.3, MAN 3275-1, VOLVO VDS-3, RENAULT RLD-2/RLD, MACK EO-N, CUMMINS CES 20076/20077, MTU Type 2, CAT ECF-2/ECF-1-a, DEUTZ DQC III-10, DETROIT DIESEL DDC 93K215</t>
  </si>
  <si>
    <t>RP037X16</t>
  </si>
  <si>
    <t>RP DIESEL TURBO THPD 10W40 B-20 (20Л)</t>
  </si>
  <si>
    <t>2468.48</t>
  </si>
  <si>
    <t>RP037X55</t>
  </si>
  <si>
    <t>RP DIESEL TURBO THPD 10W40 CP-5 (5х5Л)</t>
  </si>
  <si>
    <t>673.90</t>
  </si>
  <si>
    <t>RP050G54</t>
  </si>
  <si>
    <t>RP CARRERA 10W60 CP-4 (5х4Л)</t>
  </si>
  <si>
    <t>1416.23</t>
  </si>
  <si>
    <t>моторне синтетичне естерове, API SN, для спортивних авто, Maserati, Jaguar, Lotus і Aston Martin.</t>
  </si>
  <si>
    <t>RP050H51</t>
  </si>
  <si>
    <t>RP CARRERA 5W50 CP-1 (12х1Л)</t>
  </si>
  <si>
    <t>347.01</t>
  </si>
  <si>
    <t>моторне синтетичне естерове, API SN, для спортивних авто</t>
  </si>
  <si>
    <t>RP080X08</t>
  </si>
  <si>
    <t>RP PREMIUM GTI/TDI 10W40 B-208  (208Л)</t>
  </si>
  <si>
    <t>21420.48</t>
  </si>
  <si>
    <t>моторне напівсинтетичне, API SL/CF, ACEA A3/B4, A3/B3</t>
  </si>
  <si>
    <t>RP080X11</t>
  </si>
  <si>
    <t>RP PREMIUM GTI/TDI 10W40 B-60  (60Л)</t>
  </si>
  <si>
    <t>6796.79</t>
  </si>
  <si>
    <t>RP080X51</t>
  </si>
  <si>
    <t>RP PREMIUM GTI/TDI 10W40 CP-1  (12х1Л)</t>
  </si>
  <si>
    <t>134.55</t>
  </si>
  <si>
    <t>RP080X54</t>
  </si>
  <si>
    <t>RP PREMIUM GTI/TDI 10W40 CP-4  (5х4Л)</t>
  </si>
  <si>
    <t>469.20</t>
  </si>
  <si>
    <t>RP080X55</t>
  </si>
  <si>
    <t>RP PREMIUM GTI/TDI 10W40 CP-5  (5х5Л)</t>
  </si>
  <si>
    <t>580.75</t>
  </si>
  <si>
    <t>RP080Y55</t>
  </si>
  <si>
    <t>RP PREMIUM GTI/TDI 15W40 CP-5  (5х5Л)</t>
  </si>
  <si>
    <t>561.49</t>
  </si>
  <si>
    <t>моторне мінеральне, API SL/CF, ACEA A3/B4</t>
  </si>
  <si>
    <t>RP081J51</t>
  </si>
  <si>
    <t>RP PREMIUM TECH 5W40 CP-1  (12х1Л)</t>
  </si>
  <si>
    <t>198.95</t>
  </si>
  <si>
    <t>моторне синтетичне, API SN/CF, ACEA C3, DPF, Mid SAPS</t>
  </si>
  <si>
    <t>RP081J54</t>
  </si>
  <si>
    <t>RP PREMIUM TECH 5W40 CP-4  (5х4Л)</t>
  </si>
  <si>
    <t>738.30</t>
  </si>
  <si>
    <t>RP081J55</t>
  </si>
  <si>
    <t>RP PREMIUM TECH 5W40 CP-5  (5х5Л)</t>
  </si>
  <si>
    <t>909.08</t>
  </si>
  <si>
    <t>RP081L55</t>
  </si>
  <si>
    <t>RP PREMIUM TECH 5W30 CP-5  (5х5Л)</t>
  </si>
  <si>
    <t>974.63</t>
  </si>
  <si>
    <t>RP131Y54</t>
  </si>
  <si>
    <t>RP NAUTICO Diesel Board 4T 15W40 CP-4  (5Х4Л)</t>
  </si>
  <si>
    <t>990.44</t>
  </si>
  <si>
    <t>4-х тактне лодочне мастило, API CI-4/CH-4/SL • ACEA E7/E5 • VOLVO VDS-3•MAN 3275 • CUMMINS 20076/20077/20078\n\n\n</t>
  </si>
  <si>
    <t>RP135U54</t>
  </si>
  <si>
    <t>RP ELITE LONG LIFE 50700/50400 5W30 CP-4  (5х4Л)</t>
  </si>
  <si>
    <t>1027.53</t>
  </si>
  <si>
    <t>моторне синтетичне, ACEA C3, VW 507.00/504.00, MB 229.51, PORSCHE C30, VW-Audi-Seat-Skoda group</t>
  </si>
  <si>
    <t>RP135V51</t>
  </si>
  <si>
    <t>RP ELITE TURBO LIFE 50601 0W30 CP-1  (12х1Л)</t>
  </si>
  <si>
    <t>388.99</t>
  </si>
  <si>
    <t>моторне синтетичне, ACEA A5/B5-04, VW 506.01/503.00/506.00, пряме впорскування VW-Audi-Seat-Skoda group</t>
  </si>
  <si>
    <t>RP135V55</t>
  </si>
  <si>
    <t>RP ELITE TURBO LIFE 50601 0W30 CP-5  (5х5Л)</t>
  </si>
  <si>
    <t>1830.80</t>
  </si>
  <si>
    <t>RP135X51</t>
  </si>
  <si>
    <t>RP ELITE 50501 TDI 5W40 CP-1  (12х1Л)</t>
  </si>
  <si>
    <t>201.83</t>
  </si>
  <si>
    <t>моторне синтетичне, ACEA C3, VW 502.00/505.00/505.01, VW-Audi-Seat-Skoda group TDI (турбо дизельні мотори), LPG та CNG (газ) двигуни</t>
  </si>
  <si>
    <t>RP139X16</t>
  </si>
  <si>
    <t>RP ELITE INJECTION 10W40 B-20  (20Л)</t>
  </si>
  <si>
    <t>2477.10</t>
  </si>
  <si>
    <t>моторне напівсинтетика, API SL/CF, ACEA A3/B3, A3/B4, VW 502.00/505.00, (Suitable for 501.01), MB 229.1</t>
  </si>
  <si>
    <t>RP139X51</t>
  </si>
  <si>
    <t>RP ELITE INJECTION 10W40 CP-1  (12х1Л)</t>
  </si>
  <si>
    <t>142.89</t>
  </si>
  <si>
    <t>RP139X54</t>
  </si>
  <si>
    <t>RP ELITE INJECTION 10W40 CP-4   (5х4Л)</t>
  </si>
  <si>
    <t>514.63</t>
  </si>
  <si>
    <t>RP139Y51</t>
  </si>
  <si>
    <t>RP ELITE INYECCION 15W40 CP-1  (12х1Л)</t>
  </si>
  <si>
    <t>137.14</t>
  </si>
  <si>
    <t>моторне мінеральне, API SL/CF, ACEA A3/B3, VW 501.01/505.00, MB 229.1, LPG та CNG газові установки</t>
  </si>
  <si>
    <t>RP139Y54</t>
  </si>
  <si>
    <t>RP ELITE INYECCION 15W40 CP-4  (5х4Л)</t>
  </si>
  <si>
    <t>485.88</t>
  </si>
  <si>
    <t>RP139Y55</t>
  </si>
  <si>
    <t>RP ELITE INYECCION 15W40 CP-5  (5х5Л)</t>
  </si>
  <si>
    <t>591.39</t>
  </si>
  <si>
    <t>RP141G55</t>
  </si>
  <si>
    <t>RP ELITE COSMOS HIGH PERFORMAN 0W40 CP-5  (5х5Л)</t>
  </si>
  <si>
    <t>1497.30</t>
  </si>
  <si>
    <t>моторне синтетичне, API SN, ACEA A3/B4, VW 502.00/505.00, BMW LL-01, MB 229.5, PORSCHE A40, RENAULT RN0700/RN0710</t>
  </si>
  <si>
    <t>RP141J51</t>
  </si>
  <si>
    <t>RP ELITE EVOLUTION 5W40 CP-1  (12х1Л)</t>
  </si>
  <si>
    <t>257.03</t>
  </si>
  <si>
    <t>моторне синтетичне, API SN/CF, ACEA C3, MB 229.31, BMW LL-04, VW 502.00/505.00/505.01, PORSCHE A40, FORD WSS-M2C917-A</t>
  </si>
  <si>
    <t>RP141J55</t>
  </si>
  <si>
    <t>RP ELITE EVOLUTION 5W40 CP-5  (5х5Л)</t>
  </si>
  <si>
    <t>1178.18</t>
  </si>
  <si>
    <t>RP141L08</t>
  </si>
  <si>
    <t>RP ELITE COMPETICION 5W40 B-208  (208Л)</t>
  </si>
  <si>
    <t>34319.74</t>
  </si>
  <si>
    <t>моторне синтетичне, API SN/CF, ACEA A3/B3, A3/B4, VW 502.00/505.00, MB 229.3, BMW LL-01</t>
  </si>
  <si>
    <t>RP141L11</t>
  </si>
  <si>
    <t>RP ELITE COMPETICION 5W40 B-60  (60Л)</t>
  </si>
  <si>
    <t>10617.95</t>
  </si>
  <si>
    <t>RP141L16</t>
  </si>
  <si>
    <t>RP ELITE COMPETICION 5W40 B-20  (20Л)</t>
  </si>
  <si>
    <t>3649.81</t>
  </si>
  <si>
    <t>RP141L54</t>
  </si>
  <si>
    <t>RP ELITE COMPETICION 5W40 CP-4  (5х4Л)</t>
  </si>
  <si>
    <t>768.49</t>
  </si>
  <si>
    <t>RP141L55</t>
  </si>
  <si>
    <t>RP ELITE COMPETICION 5W40 CP-5  (5х5Л)</t>
  </si>
  <si>
    <t>938.40</t>
  </si>
  <si>
    <t>RP141M51</t>
  </si>
  <si>
    <t>RP ELITE COMMON RAIL 5W30 CP-1  (12х1Л)</t>
  </si>
  <si>
    <t>287.79</t>
  </si>
  <si>
    <t>моторне синтетичне, API SL/CF, ACEA A3/B4, BMW LL-01, VW 502.00/505.00, GM LL-B-025, MB 229.5, RENAULT RN0700/RN0710, Common Rail впорскування, DPF</t>
  </si>
  <si>
    <t>RP141M55</t>
  </si>
  <si>
    <t>RP ELITE COMMON RAIL 5W30 CP-5  (5х5Л)</t>
  </si>
  <si>
    <t>1335.73</t>
  </si>
  <si>
    <t>RP141N51</t>
  </si>
  <si>
    <t>RP ELITE MULTIVALVULAS 10W40 CP-1  (12х1Л)</t>
  </si>
  <si>
    <t>151.80</t>
  </si>
  <si>
    <t>моторне синтетичне, API SN/CF, ACEA A3/B4, VW 502.00/505.00, MB 229.3, RENAULT RN0700/RN0710, холодний старт</t>
  </si>
  <si>
    <t>RP141N54</t>
  </si>
  <si>
    <t>RP ELITE MULTIVALVULAS 10W40 CP-4  (5х4Л)</t>
  </si>
  <si>
    <t>549.13</t>
  </si>
  <si>
    <t>RP141Q51</t>
  </si>
  <si>
    <t>RP ELITE EVOLUTION LONG LIFE 5W30 CP-1  (12х1Л)</t>
  </si>
  <si>
    <t>267.09</t>
  </si>
  <si>
    <t>моторне синтетичне, API SN/CF, ACEA C3, BMW LL-04, MB 229.51/229.52, VW 502.00/505.00/505.01, Dexos2TM (GB2D1011102), GM-LL-A-025, GM-LL-B-025, Mid SAPS, довгі інтервали заміни мастила</t>
  </si>
  <si>
    <t>RP141R55</t>
  </si>
  <si>
    <t>RP ELITE EVOLUTION POWER 4 5W30 CP-5  (5х5Л)</t>
  </si>
  <si>
    <t>1341.19</t>
  </si>
  <si>
    <t>моторне синтетичне, ACEA C4, RENAULT RN0720, для Renault diesel, довгі інтервали заміни мастила</t>
  </si>
  <si>
    <t>RP146Z51</t>
  </si>
  <si>
    <t>RP MOTO COMPETICION 2T  CP-1  (12х1Л)</t>
  </si>
  <si>
    <t>278.01</t>
  </si>
  <si>
    <t>2-х тактное, API TC JASO M 345 FD,змагання, змішування, можна в інжекторні мотори</t>
  </si>
  <si>
    <t>RP147Z51</t>
  </si>
  <si>
    <t>RP MOTO OFF ROAD  2T  CP-1  (12х1Л)</t>
  </si>
  <si>
    <t>449.36</t>
  </si>
  <si>
    <t>2-х тактное, API TC JASO M 345 FD, позашляхові, квадроцикли, змішування, можна в інжекторні мотори</t>
  </si>
  <si>
    <t>RP148V51</t>
  </si>
  <si>
    <t>RP MOTO SNOW 4T 0W30 CP-1 (12х1Л)</t>
  </si>
  <si>
    <t>522.10</t>
  </si>
  <si>
    <t>4-х тактне,  снігоходи, синтетика\n</t>
  </si>
  <si>
    <t>RP149Y51</t>
  </si>
  <si>
    <t>RP MOTO SCOOTER 2T  CP-1  (12х1Л)</t>
  </si>
  <si>
    <t>215.63</t>
  </si>
  <si>
    <t>2-х тактное, API TC JASO M 345 FD, синтетика, скутери, старт-стоп , змішування, можна в інжекторні мотори</t>
  </si>
  <si>
    <t>RP150W51</t>
  </si>
  <si>
    <t>RP MOTO SINTETICO 2T  CP-1  (12х1Л)</t>
  </si>
  <si>
    <t>225.69</t>
  </si>
  <si>
    <t>2-х тактное, API TC JASO M 345 FD,синтетика, універсальне,  змішування, можна в інжекторні мотори</t>
  </si>
  <si>
    <t>RP151X51</t>
  </si>
  <si>
    <t>RP MOTO TOWN 2T  CP-1  (12х1Л)</t>
  </si>
  <si>
    <t>177.39</t>
  </si>
  <si>
    <t>2-х тактное, API TC JASO M 345 FB, мінеральне, для міста та универсальне, для скутерів и мотоциклів</t>
  </si>
  <si>
    <t>RP151X53</t>
  </si>
  <si>
    <t>RP MOTO TOWN 2T    T-125  (25х125мл)</t>
  </si>
  <si>
    <t>40.83</t>
  </si>
  <si>
    <t>RP152D51</t>
  </si>
  <si>
    <t>RP MOTO SNOW 2T CP-1  (12х1Л)</t>
  </si>
  <si>
    <t>390.71</t>
  </si>
  <si>
    <t>2-х тактное, API TC, снігоходи, синтетика, змішування</t>
  </si>
  <si>
    <t>RP160L51</t>
  </si>
  <si>
    <t>RP MOTO RACING 4T 5W40 CP-1  (12х1Л)</t>
  </si>
  <si>
    <t>417.45</t>
  </si>
  <si>
    <t>4-х тактное, API SN JASO T903:2011 MA2,  синтетика, кільцеві гонки і универсальне</t>
  </si>
  <si>
    <t>RP160N51</t>
  </si>
  <si>
    <t>RP MOTO RACING 4T 10W40 CP-1  (12х1Л)</t>
  </si>
  <si>
    <t>308.49</t>
  </si>
  <si>
    <t>4-х тактное, API SN JASO T903:2011 MA2, синтетика, кільцеві гонки і универсальне</t>
  </si>
  <si>
    <t>RP160N54</t>
  </si>
  <si>
    <t>RP MOTO RACING 4T 10W40 CP-4  (5х4Л)</t>
  </si>
  <si>
    <t>1134.76</t>
  </si>
  <si>
    <t>RP160P51</t>
  </si>
  <si>
    <t>RP MOTO RACING 4T 10W50 CP-1  (12х1Л)</t>
  </si>
  <si>
    <t>358.23</t>
  </si>
  <si>
    <t>RP162N51</t>
  </si>
  <si>
    <t>RP MOTO OFF ROAD  4T 10W40 CP-1  (12х1Л)</t>
  </si>
  <si>
    <t>395.89</t>
  </si>
  <si>
    <t>4-х тактное, API SN JASO T903:2011 MA2,  синтетика, позашляховики</t>
  </si>
  <si>
    <t>RP163N51</t>
  </si>
  <si>
    <t>RP MOTO SINTETICO 4T 10W40   CP-1  (12х1Л)</t>
  </si>
  <si>
    <t>261.91</t>
  </si>
  <si>
    <t>4-х тактное, API SN JASO T903:2011 MA2, синтетика, для середнє і високопотужних двигунів</t>
  </si>
  <si>
    <t>RP164L51</t>
  </si>
  <si>
    <t>RP MOTO SCOOTER 4T 5W40 CP-1  (12х1Л)</t>
  </si>
  <si>
    <t>280.60</t>
  </si>
  <si>
    <t>4-х тактное, API SL JASO T903:2011 MA2,синтетика, старт-стоп рух і місто</t>
  </si>
  <si>
    <t>RP165M51</t>
  </si>
  <si>
    <t>RP MOTO RIDER 4T 15W50    CP-1  (12х1Л)</t>
  </si>
  <si>
    <t>248.98</t>
  </si>
  <si>
    <t>4-х тактное, API SL JASO T903:2011 MA2, мінеральне,  довгі поїздки</t>
  </si>
  <si>
    <t>RP165N51</t>
  </si>
  <si>
    <t>RP MOTO RIDER 4T 10W40 CP-1  (12х1Л)</t>
  </si>
  <si>
    <t>209.88</t>
  </si>
  <si>
    <t>RP168Q51</t>
  </si>
  <si>
    <t>RP MOTO V-TWIN 4T 20W50 CP-1  (12х1Л)</t>
  </si>
  <si>
    <t>200.68</t>
  </si>
  <si>
    <t>4-х тактное, API SL JASO T903:2011 MA2, мінеральне, V - двигун, довгі поїздки, Harley Davidson</t>
  </si>
  <si>
    <t>RP172L51</t>
  </si>
  <si>
    <t>RP MOTO FORK OIL  5W CP-1  (12х1Л)</t>
  </si>
  <si>
    <t>186.88</t>
  </si>
  <si>
    <t>Вилочне мастило 5W, DIN 51524 Part 2 HLP</t>
  </si>
  <si>
    <t>RP172X51</t>
  </si>
  <si>
    <t>RP MOTO FORK OIL 10W CP-1  (12х1Л)</t>
  </si>
  <si>
    <t>Вилочне мастило 10W, DIN 51524 Part 2 HLP</t>
  </si>
  <si>
    <t>RP173X51</t>
  </si>
  <si>
    <t>RP MOTO TRANSMISIONES 10W40 CP-1  (12х1Л)</t>
  </si>
  <si>
    <t>255.88</t>
  </si>
  <si>
    <t>Мото трансмісійне мастило, JASO T903:2006 MA2</t>
  </si>
  <si>
    <t>RP173Y51</t>
  </si>
  <si>
    <t>RP MOTO TRANSMISIONES 80W90    CP-1  (12х1Л)</t>
  </si>
  <si>
    <t>338.96</t>
  </si>
  <si>
    <t>RP653Q48</t>
  </si>
  <si>
    <t>RP GRASA MOLIBGRAS EP-2      CTG-400  (24х0,4КГ)</t>
  </si>
  <si>
    <t>139.73</t>
  </si>
  <si>
    <t>Молібденова змазка</t>
  </si>
  <si>
    <t>RP673Q48</t>
  </si>
  <si>
    <t>RP GRASA LITICA EP-2 CTG-400  (24х0,4КГ)</t>
  </si>
  <si>
    <t>111.55</t>
  </si>
  <si>
    <t>змазка літійна DIN 51815 KP2K - 20</t>
  </si>
  <si>
    <t>RP700R34</t>
  </si>
  <si>
    <t>RP ANTICONGELANTE PURO BOTE (15х1Л).</t>
  </si>
  <si>
    <t>177.68</t>
  </si>
  <si>
    <t>Антифриз концентрат синій</t>
  </si>
  <si>
    <t>RP700R39</t>
  </si>
  <si>
    <t>RP ANTICONGELANTE PURO BOTE (4х5Л).</t>
  </si>
  <si>
    <t>805.86</t>
  </si>
  <si>
    <t>RP701A96</t>
  </si>
  <si>
    <t xml:space="preserve">RP LIQUIDO FRENOS DOT-4 (25х500 ml)  </t>
  </si>
  <si>
    <t>131.96</t>
  </si>
  <si>
    <t>гальмівна рідина UNE 26-109-88• INTA 1571-13-D• FMVSS 116-DOT 4• SAE J-1703• ISO 4925</t>
  </si>
  <si>
    <t>RP701B96</t>
  </si>
  <si>
    <t>RP LIQUIDO FRENOS DOT-5.1 (25х500 ml)</t>
  </si>
  <si>
    <t>148.06</t>
  </si>
  <si>
    <t>гальмівна рідина, FMVSS 116 DOT 5.1, DOT 4.0 • SAE J-1703, J-1704• ISO 4925</t>
  </si>
  <si>
    <t>RP703R39</t>
  </si>
  <si>
    <t>RP ANTICONGELANTE REFRIGE. ORG. PURO (4х5Л)</t>
  </si>
  <si>
    <t>874.00</t>
  </si>
  <si>
    <t>Антифриз концентрат червоний</t>
  </si>
  <si>
    <t>RP713A56</t>
  </si>
  <si>
    <t>RP MOTO DOT 4 BRAKE FLUID CP-1/2  (24х500 ml)</t>
  </si>
  <si>
    <t>226.55</t>
  </si>
  <si>
    <t>Мото гальмівна рідина DOT4, E 26-109-88, SAE J1703, J1704, ISO 4925</t>
  </si>
  <si>
    <t>RP713B56</t>
  </si>
  <si>
    <t>RP MOTO DOT 5.1 BRAKE FLUID CP-1/2  (24х500 ml)</t>
  </si>
  <si>
    <t>265.65</t>
  </si>
  <si>
    <t>Мото гальмівна рідина DOT 5.1</t>
  </si>
  <si>
    <t>SHELL</t>
  </si>
  <si>
    <t>SHELL Helix Ultra 5W-40 4L</t>
  </si>
  <si>
    <t>591.79</t>
  </si>
  <si>
    <t>SHELL Helix Ultra 5W-40 1L</t>
  </si>
  <si>
    <t>152.12</t>
  </si>
  <si>
    <t>SHELL Helix HX7 10W-40  1L</t>
  </si>
  <si>
    <t>109.84</t>
  </si>
  <si>
    <t>SHELL Helix Diesel HX7 10W-40 4L</t>
  </si>
  <si>
    <t>380.38</t>
  </si>
  <si>
    <t>SHELL Helix HX7 10W-40  4L</t>
  </si>
  <si>
    <t>373.73</t>
  </si>
  <si>
    <t>SHELL Helix Diesel HX7 10W-40 1L</t>
  </si>
  <si>
    <t>SHELL Helix Diesel Ultra 5W-40 1L</t>
  </si>
  <si>
    <t>SHELL Helix Diesel Ultra 5W-40 4L</t>
  </si>
  <si>
    <t>SHELL Helix HX8 5W-40  4L</t>
  </si>
  <si>
    <t>480.17</t>
  </si>
  <si>
    <t>SHELL Helix HX8 5W-40  1L</t>
  </si>
  <si>
    <t>138.67</t>
  </si>
  <si>
    <t>SHELL Helix Ultra ECT C3 5W-30 1L</t>
  </si>
  <si>
    <t>185.98</t>
  </si>
  <si>
    <t>SHELL Helix Ultra ECT C3 5W-30 4L</t>
  </si>
  <si>
    <t>700.00</t>
  </si>
  <si>
    <t>TOTAL</t>
  </si>
  <si>
    <t>QUARTZ 9000 ENERGY 5W-40, 5L (x3)</t>
  </si>
  <si>
    <t>517.55</t>
  </si>
  <si>
    <t>QUARTZ INEO MC3 5W-30, 5L (x3)</t>
  </si>
  <si>
    <t>699.98</t>
  </si>
  <si>
    <t>QUARTZ 9000 ENERGY 5W-40, 1L (x18)</t>
  </si>
  <si>
    <t>121.92</t>
  </si>
  <si>
    <t>QUARTZ INEO MC3 5W-30, 1L (x18)</t>
  </si>
  <si>
    <t>163.42</t>
  </si>
  <si>
    <t>QUARTZ 9000 ENERGY 5W-40, 4L (x4)</t>
  </si>
  <si>
    <t>428.05</t>
  </si>
  <si>
    <t>QUARTZ INEO LONG LIFE 5W-30, 1L (x18)</t>
  </si>
  <si>
    <t>178.42</t>
  </si>
  <si>
    <t>QUARTZ INEO LONG LIFE 5W-30, 5L (x3)</t>
  </si>
  <si>
    <t>739.71</t>
  </si>
  <si>
    <t>QUARTZ DIESEL 7000 10W-40, 5L (x3)</t>
  </si>
  <si>
    <t>476.27</t>
  </si>
  <si>
    <t>QUARTZ DIESEL 7000 10W-40, 1L (x18)</t>
  </si>
  <si>
    <t>117.19</t>
  </si>
  <si>
    <t>QUARTZ 7000 ENERGY 10W-40, 1L (x18)</t>
  </si>
  <si>
    <t>96.98</t>
  </si>
  <si>
    <t>QUARTZ 7000 ENERGY 10W-40, 4L (x4)</t>
  </si>
  <si>
    <t>342.53</t>
  </si>
  <si>
    <t>QUARTZ 7000 ENERGY 10W-40, 5L (x3)</t>
  </si>
  <si>
    <t>418.69</t>
  </si>
  <si>
    <t>VIPOIL</t>
  </si>
  <si>
    <t>Омивач скла VipOil (літній) Диня, 3л</t>
  </si>
  <si>
    <t>14.18</t>
  </si>
  <si>
    <t>VipOil Professional 10W40 SL/CF, 1L x14</t>
  </si>
  <si>
    <t>46.14</t>
  </si>
  <si>
    <t>VipOil Professional 10W40 SL/CF, 4L x4</t>
  </si>
  <si>
    <t>159.80</t>
  </si>
  <si>
    <t>VipOil Professional 10W40 SL/CF, 20L</t>
  </si>
  <si>
    <t>746.60</t>
  </si>
  <si>
    <t>VipOil Professional 10W40 SL/CF, 200L</t>
  </si>
  <si>
    <t>7380.65</t>
  </si>
  <si>
    <t>VipOil Classic 10W40 SG/CD, 1L x14</t>
  </si>
  <si>
    <t>43.54</t>
  </si>
  <si>
    <t>VipOil Classic 10W40 SG/CD, 4L x4</t>
  </si>
  <si>
    <t>153.88</t>
  </si>
  <si>
    <t>VipOil Classic 10W40 SG/CD, 5L x4</t>
  </si>
  <si>
    <t>183.98</t>
  </si>
  <si>
    <t>VipOil Classic 10W40 SG/CD, 20L</t>
  </si>
  <si>
    <t>694.48</t>
  </si>
  <si>
    <t>VipOil Professional TDI 10W40 CI-4/SL, 1L x14</t>
  </si>
  <si>
    <t>47.97</t>
  </si>
  <si>
    <t>VipOil Professional TDI 10W40 CI-4/SL, 5L x4</t>
  </si>
  <si>
    <t>200.03</t>
  </si>
  <si>
    <t>VipOil Professional TDI 10W40 CI-4/SL, 10L</t>
  </si>
  <si>
    <t>393.17</t>
  </si>
  <si>
    <t>VipOil Professional TDI 10W40 CI-4/SL, 200L</t>
  </si>
  <si>
    <t>7676.52</t>
  </si>
  <si>
    <t>VipOil Professional 15W40 SG/CD, 1L x15</t>
  </si>
  <si>
    <t>VipOil Professional 15W40 SG/CD, 5L x4</t>
  </si>
  <si>
    <t>VipOil Professional TD 15W40 CD/SF, 1L x15</t>
  </si>
  <si>
    <t>45.55</t>
  </si>
  <si>
    <t>VipOil Professional TD 15W40 CD/SF, 5L x4</t>
  </si>
  <si>
    <t>193.41</t>
  </si>
  <si>
    <t>VipOil Professional TD 15W40 CD/SF, 10L</t>
  </si>
  <si>
    <t>378.55</t>
  </si>
  <si>
    <t>VipOil MOTO HP 2T API TC, 1L x15</t>
  </si>
  <si>
    <t>41.59</t>
  </si>
  <si>
    <t>VipOil Differential 80W90 GL-5, 1L x14</t>
  </si>
  <si>
    <t>48.71</t>
  </si>
  <si>
    <t>VipOil Differential 80W90 GL-5, 4L x4</t>
  </si>
  <si>
    <t>170.66</t>
  </si>
  <si>
    <t>VipOil ТАД-17м, 1L x14</t>
  </si>
  <si>
    <t>42.87</t>
  </si>
  <si>
    <t>VipOil ТАД-17м, 3,5L x4</t>
  </si>
  <si>
    <t>136.62</t>
  </si>
  <si>
    <t>VipOil МГЕ-46в, 200L</t>
  </si>
  <si>
    <t>5530.23</t>
  </si>
  <si>
    <t>VipOil Automatic ATF DEXRON II D, 1L x14</t>
  </si>
  <si>
    <t>44.84</t>
  </si>
  <si>
    <t>VipOil Солідол Ж, 0,4 kg (x24)</t>
  </si>
  <si>
    <t>28.42</t>
  </si>
  <si>
    <t>VipOil Літол-24, 0,4 kg (x24)</t>
  </si>
  <si>
    <t>41.70</t>
  </si>
  <si>
    <t>VipOil Літол-24, 4 kg</t>
  </si>
  <si>
    <t>236.54</t>
  </si>
  <si>
    <t>VipOil М-10Г2к, 20L</t>
  </si>
  <si>
    <t>581.70</t>
  </si>
  <si>
    <t>VipOil М-10ДМ, 10L</t>
  </si>
  <si>
    <t>300.39</t>
  </si>
  <si>
    <t>VipOil М-10ДМ, 20L</t>
  </si>
  <si>
    <t>589.23</t>
  </si>
  <si>
    <t>VipOil Нігрол, 10L</t>
  </si>
  <si>
    <t>VipOil DOT4 900 г x15</t>
  </si>
  <si>
    <t>45.02</t>
  </si>
  <si>
    <t>VipOil MOTO XT 4T 10W40, 1L x15</t>
  </si>
  <si>
    <t>52.91</t>
  </si>
  <si>
    <t>Антифриз VipOil Profi 30 Red 1кг х8</t>
  </si>
  <si>
    <t>22.92</t>
  </si>
  <si>
    <t>Антифриз VipOil Profi 30 Red 5кг х4</t>
  </si>
  <si>
    <t>92.20</t>
  </si>
  <si>
    <t>Антифриз VipOil Profi 30 Red 10кг х2</t>
  </si>
  <si>
    <t>177.98</t>
  </si>
  <si>
    <t>Антифриз VipOil Profi 30 Green 1кг х8</t>
  </si>
  <si>
    <t>22.48</t>
  </si>
  <si>
    <t>Антифриз VipOil Profi 30 Green 5кг х4</t>
  </si>
  <si>
    <t>90.39</t>
  </si>
  <si>
    <t>Антифриз VipOil Profi 30 Green 10кг х2</t>
  </si>
  <si>
    <t>174.49</t>
  </si>
  <si>
    <t>Антифриз VipOil Profi 30 Blue 1кг х8</t>
  </si>
  <si>
    <t>21.60</t>
  </si>
  <si>
    <t>Антифриз VipOil Profi 30 Blue 10кг х2</t>
  </si>
  <si>
    <t>167.78</t>
  </si>
  <si>
    <t>Антифриз VipOil G11 Profi 40 (синій), 1кг х8</t>
  </si>
  <si>
    <t>23.46</t>
  </si>
  <si>
    <t>Антифриз VipOil G11 Profi 40 (синій), 5кг х4</t>
  </si>
  <si>
    <t>96.33</t>
  </si>
  <si>
    <t>Антифриз VipOil G12 Profi 40 (червоний), 1кг х8</t>
  </si>
  <si>
    <t>24.89</t>
  </si>
  <si>
    <t>Антифриз VipOil ECO Profi 40 (зелений), 1кг х8</t>
  </si>
  <si>
    <t>24.40</t>
  </si>
  <si>
    <t>WIX</t>
  </si>
  <si>
    <t>6161   (002)</t>
  </si>
  <si>
    <t>84.16</t>
  </si>
  <si>
    <t>WIX Europe</t>
  </si>
  <si>
    <t>WA6161</t>
  </si>
  <si>
    <t>VW GOLF 1.3i 87-92, 1.8 84-88, JETTA 1.8 86-91FordEscort 1.6i  -90</t>
  </si>
  <si>
    <t>6162   (003)</t>
  </si>
  <si>
    <t>92.41</t>
  </si>
  <si>
    <t>WA6162</t>
  </si>
  <si>
    <t>VW GOLF 1.6 76-82, JETTA 1.8 84-88, CADDY 1.8 85-92</t>
  </si>
  <si>
    <t>9491   (003/8)</t>
  </si>
  <si>
    <t>159.70</t>
  </si>
  <si>
    <t>WA9491</t>
  </si>
  <si>
    <t>CHEROKEE/LIBERTY 03-&gt;(LX1272)</t>
  </si>
  <si>
    <t>6166   (004)</t>
  </si>
  <si>
    <t>63.99</t>
  </si>
  <si>
    <t>WA6166</t>
  </si>
  <si>
    <t>VW/AUDI 1.6D/TD -91, AUDI 80  2.0 16V, 2.3E -96</t>
  </si>
  <si>
    <t>6537   (004/2)</t>
  </si>
  <si>
    <t>196.93</t>
  </si>
  <si>
    <t>WA6537</t>
  </si>
  <si>
    <t>AUDI A6 3.7 99-, 4.2 S6 96-12/97, A8 2.8-4.2 95-</t>
  </si>
  <si>
    <t>9515   (004/3)</t>
  </si>
  <si>
    <t>198.03</t>
  </si>
  <si>
    <t>WA9515</t>
  </si>
  <si>
    <t>Q7/CAYENNE/TOUAREG (LX792)</t>
  </si>
  <si>
    <t>9721   (004/5)</t>
  </si>
  <si>
    <t>229.20</t>
  </si>
  <si>
    <t>WA9721</t>
  </si>
  <si>
    <t>Volkswagen Amarok 2.0TDI, 2.0BiTDI</t>
  </si>
  <si>
    <t>6167   (005)</t>
  </si>
  <si>
    <t>80.13</t>
  </si>
  <si>
    <t>WA6167</t>
  </si>
  <si>
    <t>6168   (006)</t>
  </si>
  <si>
    <t>64.54</t>
  </si>
  <si>
    <t>WA6168</t>
  </si>
  <si>
    <t xml:space="preserve">LADA 2109-2112 инжектор, VW TRANSPORTER 1.6-2.1 -92, AUDI 100 1.8i-2.3i  -90 </t>
  </si>
  <si>
    <t>6172   (010)</t>
  </si>
  <si>
    <t>114.23</t>
  </si>
  <si>
    <t>WA6172</t>
  </si>
  <si>
    <t>W201 190D/ W124 E200D 93- , SsangYoung Korando, Musso 2.3D 96- (LX95)</t>
  </si>
  <si>
    <t>6173   (010/1)</t>
  </si>
  <si>
    <t>137.70</t>
  </si>
  <si>
    <t>WA6173</t>
  </si>
  <si>
    <t>MB W124 (E200, E220) 93-98\n</t>
  </si>
  <si>
    <t>6580   (010/2)</t>
  </si>
  <si>
    <t>117.35</t>
  </si>
  <si>
    <t>WA6580</t>
  </si>
  <si>
    <t>MB W124 (500E 91-93, E420,E500 93-95), W140 (S420,S500 93-98)</t>
  </si>
  <si>
    <t>6581   (010/3)</t>
  </si>
  <si>
    <t>272.29</t>
  </si>
  <si>
    <t>WA6581</t>
  </si>
  <si>
    <t>MB W140 (S300TD, S350TD)  93-98</t>
  </si>
  <si>
    <t>6174   (011)</t>
  </si>
  <si>
    <t>132.57</t>
  </si>
  <si>
    <t>WA6174</t>
  </si>
  <si>
    <t>W124 250D/ TD 85-6/ 93 (LX96)</t>
  </si>
  <si>
    <t>6175   (012)</t>
  </si>
  <si>
    <t>197.11</t>
  </si>
  <si>
    <t>WA6175</t>
  </si>
  <si>
    <t>W124 300D -93/ G 300TD 97- (LX97)</t>
  </si>
  <si>
    <t>6176   (013)</t>
  </si>
  <si>
    <t>36.67</t>
  </si>
  <si>
    <t>WA6176</t>
  </si>
  <si>
    <t>6178   (015)</t>
  </si>
  <si>
    <t>87.28</t>
  </si>
  <si>
    <t>WA6178</t>
  </si>
  <si>
    <t>Opel Kadett D/ E 1.6D (LX35)</t>
  </si>
  <si>
    <t>6179   (016)</t>
  </si>
  <si>
    <t>86.73</t>
  </si>
  <si>
    <t>WA6179</t>
  </si>
  <si>
    <t>ESCORT 1.6D 84-&gt;90 (LX118)</t>
  </si>
  <si>
    <t>6183   (020)</t>
  </si>
  <si>
    <t>WA6183</t>
  </si>
  <si>
    <t>OPEL KADETT, CORSA 1.5TD (ISUZU) 88-91, VECTRA 1.7TD 90-95 /аналог LX588/</t>
  </si>
  <si>
    <t>6185   (021)</t>
  </si>
  <si>
    <t>78.11</t>
  </si>
  <si>
    <t>WA6185</t>
  </si>
  <si>
    <t xml:space="preserve">CITROEN Bx 1.5-1.9D 82- 94 , C5 1.8-3.0HDI 01- 04 , C8 2.0- 2.2 HDI 02-,  JUMPY 1.6-2.0TD, 95-  FIAT Scudo 1.6-2.0 96-,  Expert 1.6-2.0 TD/HDI 96- </t>
  </si>
  <si>
    <t>9400   (022/1)</t>
  </si>
  <si>
    <t>92.60</t>
  </si>
  <si>
    <t>WA9400</t>
  </si>
  <si>
    <t>Fiat Panda 03-</t>
  </si>
  <si>
    <t>9556   (022/2)</t>
  </si>
  <si>
    <t>72.61</t>
  </si>
  <si>
    <t>WA9556</t>
  </si>
  <si>
    <t>Fiat 500 1.2 8V, Grande Punto 1.2 8V, 1.4 8V, Idea 1.2 8V| Lancia Musa, Ypsilon| Ford Ka II 1.2 8V (ОЕ 55192012)</t>
  </si>
  <si>
    <t>6187   (023)</t>
  </si>
  <si>
    <t>86.18</t>
  </si>
  <si>
    <t>WA6187</t>
  </si>
  <si>
    <t>FORD TRANSIT 2.5D/TD/DI 88-00</t>
  </si>
  <si>
    <t>6675   (023/3)</t>
  </si>
  <si>
    <t>91.68</t>
  </si>
  <si>
    <t>WA6675</t>
  </si>
  <si>
    <t>9558   (023/4)</t>
  </si>
  <si>
    <t>78.29</t>
  </si>
  <si>
    <t>WA9558</t>
  </si>
  <si>
    <t>Ford Transit 2.2TDCI 06- (ОЕ 1373667, 6C119601CB)</t>
  </si>
  <si>
    <t>9758   (023/5)</t>
  </si>
  <si>
    <t>157.89</t>
  </si>
  <si>
    <t>WA9758</t>
  </si>
  <si>
    <t>Ford Transit 2.2TDCI 2011--&gt; - front whell drive  / LX 2065/1 /</t>
  </si>
  <si>
    <t>6189   (025)</t>
  </si>
  <si>
    <t>150.36</t>
  </si>
  <si>
    <t>WA6189</t>
  </si>
  <si>
    <t>BMW E23/ E28/ E30 1, 8i-3, 5i mot.M30/ M10 -&gt;92</t>
  </si>
  <si>
    <t>6190   (026)</t>
  </si>
  <si>
    <t>102.68</t>
  </si>
  <si>
    <t>WA6190</t>
  </si>
  <si>
    <t>BMW E30/ E36/ E28/ E34 1, 8i-2, 5i mot.M20/ M40/ M43 -&gt;08/ 95</t>
  </si>
  <si>
    <t>6192   (028)</t>
  </si>
  <si>
    <t>101.03</t>
  </si>
  <si>
    <t>WA6192</t>
  </si>
  <si>
    <t>BMW 320i 90-98, 325i 90-, 525i, 530i 00- /аналог LX343/</t>
  </si>
  <si>
    <t>6194   (029)</t>
  </si>
  <si>
    <t>138.44</t>
  </si>
  <si>
    <t>WA6194</t>
  </si>
  <si>
    <t>E30 324TD/E28 524D/TD (LX109)</t>
  </si>
  <si>
    <t>9661   (030/2)</t>
  </si>
  <si>
    <t>WA9661</t>
  </si>
  <si>
    <t>BMW X3 (F25), X5 (E70), X6 (E71), 535i (F10/F11/F18), 735i (F01/F02)</t>
  </si>
  <si>
    <t>6196   (031)</t>
  </si>
  <si>
    <t>128.17</t>
  </si>
  <si>
    <t>WA6196</t>
  </si>
  <si>
    <t>E34 520/525 M50 / M5 E34 (LX408)</t>
  </si>
  <si>
    <t>6197   (032)</t>
  </si>
  <si>
    <t>134.22</t>
  </si>
  <si>
    <t>WA6197</t>
  </si>
  <si>
    <t>BMW 530i, 535i, 730i/iL, 735i/iL  86-95 (M30 - engines)</t>
  </si>
  <si>
    <t>6655   (032/1)</t>
  </si>
  <si>
    <t>141.74</t>
  </si>
  <si>
    <t>WA6655</t>
  </si>
  <si>
    <t>BMW E38 750i mot.M70 требуется 2 шт./ E53 X5 3, 0i 05/ 00-</t>
  </si>
  <si>
    <t>6198   (034)</t>
  </si>
  <si>
    <t>180.06</t>
  </si>
  <si>
    <t>WA6198</t>
  </si>
  <si>
    <t>MB W201 (D2.5 TURBO) 89-93, W124 (E250D/TD) 93-95</t>
  </si>
  <si>
    <t>9504   (034/4-2x)</t>
  </si>
  <si>
    <t>439.51</t>
  </si>
  <si>
    <t>WA9504</t>
  </si>
  <si>
    <t>MB W203/W211/W164 (LX1850/S)</t>
  </si>
  <si>
    <t>6680   (035/2)</t>
  </si>
  <si>
    <t>175.66</t>
  </si>
  <si>
    <t>WA6680</t>
  </si>
  <si>
    <t>MB W203 (C180)  09/00-05/02</t>
  </si>
  <si>
    <t>6378   (036)</t>
  </si>
  <si>
    <t>WA6378</t>
  </si>
  <si>
    <t>MB W201 (E1.8, E2.0, E2.3) 89-93, W124 (200E, 230E) 89-93</t>
  </si>
  <si>
    <t>6379   (037)</t>
  </si>
  <si>
    <t>149.62</t>
  </si>
  <si>
    <t>WA6379</t>
  </si>
  <si>
    <t>MB W124 (260E, 300E) 85-93, W126 (260SE, 300SE) 85-91</t>
  </si>
  <si>
    <t>6203   (041)</t>
  </si>
  <si>
    <t>70.78</t>
  </si>
  <si>
    <t>WA6203</t>
  </si>
  <si>
    <t>FIAT TIPO, TEMPRA 1.8i, 2.0i 90-95, 1.9D/TD 92-95</t>
  </si>
  <si>
    <t>6204   (042)</t>
  </si>
  <si>
    <t>49.87</t>
  </si>
  <si>
    <t>WA6204</t>
  </si>
  <si>
    <t xml:space="preserve">FIAT TEMPRA 1.4i 91-96, TIPO,UNO 1.4i 89-95, Tavria/Slavuta 1.2i, 1.3i </t>
  </si>
  <si>
    <t>6208   (046)</t>
  </si>
  <si>
    <t>50.98</t>
  </si>
  <si>
    <t>WA6208</t>
  </si>
  <si>
    <t>FORD SCORPIO 2.0-2.9 86-93, 2.5TD -98, SIERRA 2.0, 1.8TD 86-93</t>
  </si>
  <si>
    <t>6209   (046/1)</t>
  </si>
  <si>
    <t>163.19</t>
  </si>
  <si>
    <t>WA6209</t>
  </si>
  <si>
    <t>FORD SCORPIO 2.0i, 2.3i, 2.9i 94-98, SIERRA 2.0, 1.8TD 86-93</t>
  </si>
  <si>
    <t>6210   (047)</t>
  </si>
  <si>
    <t>118.08</t>
  </si>
  <si>
    <t>WA6210</t>
  </si>
  <si>
    <t>MAZDA 323 1.7D 86-94 /338 X 138 X 34/</t>
  </si>
  <si>
    <t>6211   (048)</t>
  </si>
  <si>
    <t>WA6211</t>
  </si>
  <si>
    <t>OPEL ASCONA 1.8i, 2.0i  82-88, KADETT 1.8  87-90</t>
  </si>
  <si>
    <t>6212   (049)</t>
  </si>
  <si>
    <t>89.29</t>
  </si>
  <si>
    <t>WA6212</t>
  </si>
  <si>
    <t>6213   (050)</t>
  </si>
  <si>
    <t>83.25</t>
  </si>
  <si>
    <t>WA6213</t>
  </si>
  <si>
    <t>OPEL ASTRA 1.4-1.8 (C**NZ - engines) 91-98 (MANN: C3167/4)</t>
  </si>
  <si>
    <t>6214   (051)</t>
  </si>
  <si>
    <t>87.83</t>
  </si>
  <si>
    <t>WA6214</t>
  </si>
  <si>
    <t>OPEL ASTRA (all engines) 98-, ZAFIRA (all engines) 99-</t>
  </si>
  <si>
    <t>6699   (051/1)</t>
  </si>
  <si>
    <t>112.40</t>
  </si>
  <si>
    <t>WA6699</t>
  </si>
  <si>
    <t>9401   (051/4)</t>
  </si>
  <si>
    <t>WA9401</t>
  </si>
  <si>
    <t>OPEL Astra G/ H/ Zafira A/ B 1, 3CDTI-2, 2DTI 02/ 98-&gt; 0835627/ 0835628/ 9201139</t>
  </si>
  <si>
    <t>9402   (051/5)</t>
  </si>
  <si>
    <t>130.18</t>
  </si>
  <si>
    <t>WA9402</t>
  </si>
  <si>
    <t>OPEL Corsa C/ Tigra II 1, 3CDTI/ 1, 7DTI/ CDTI 09/ 00-&gt; 0835627/ 0835632</t>
  </si>
  <si>
    <t>9653   (051/7)</t>
  </si>
  <si>
    <t>187.03</t>
  </si>
  <si>
    <t>WA9653</t>
  </si>
  <si>
    <t>Chevrolet Cruze| Opel Astra J</t>
  </si>
  <si>
    <t>9654   (051/8)</t>
  </si>
  <si>
    <t>180.61</t>
  </si>
  <si>
    <t>WA9654</t>
  </si>
  <si>
    <t>Chevrolet Cruze| Opel Astra J 1.4-1.8, 09-</t>
  </si>
  <si>
    <t>6220   (056)</t>
  </si>
  <si>
    <t>103.96</t>
  </si>
  <si>
    <t>WA6220</t>
  </si>
  <si>
    <t>OPEL Omega A, Frontera A 2.3D/TD 86-94, 2.4i-3.0i 88-98</t>
  </si>
  <si>
    <t>6221   (057)</t>
  </si>
  <si>
    <t>68.21</t>
  </si>
  <si>
    <t>WA6221</t>
  </si>
  <si>
    <t xml:space="preserve">OPEL Calibra A, Vectra A 1.7D -95, 1.6-2.0i  -95 </t>
  </si>
  <si>
    <t>6223   (058)</t>
  </si>
  <si>
    <t>118.82</t>
  </si>
  <si>
    <t>WA6223</t>
  </si>
  <si>
    <t>CITROEN XM 89-00, PEUGEOT 605 89-99 (ALL ENGINES)</t>
  </si>
  <si>
    <t>9452   (058/2)</t>
  </si>
  <si>
    <t>160.44</t>
  </si>
  <si>
    <t>WA9452</t>
  </si>
  <si>
    <t>PEUGEOT 206/ 307 1.4 16V</t>
  </si>
  <si>
    <t>9503   (058/3)</t>
  </si>
  <si>
    <t>162.09</t>
  </si>
  <si>
    <t>WA9503</t>
  </si>
  <si>
    <t>C4 1.6 I (LX1745)</t>
  </si>
  <si>
    <t>9526   (058/4)</t>
  </si>
  <si>
    <t>WA9526</t>
  </si>
  <si>
    <t>Citroen C4 2.0i 16V 10/04--&gt;, C4 Picasso| Peugeot 307 2.0i 16V 4/05--&gt;</t>
  </si>
  <si>
    <t>9596   (058/8)</t>
  </si>
  <si>
    <t>WA9596</t>
  </si>
  <si>
    <t>9748   (058/9)</t>
  </si>
  <si>
    <t>84.53</t>
  </si>
  <si>
    <t>WA9748</t>
  </si>
  <si>
    <t>Citroen C4, C4 Picasso 1.4i 16V, Mini One II, Peugeot 207, 3008, 308 1.4VTi, 1.6VTI</t>
  </si>
  <si>
    <t>6225   (060)</t>
  </si>
  <si>
    <t>94.24</t>
  </si>
  <si>
    <t>WA6225</t>
  </si>
  <si>
    <t>SEAT TOLEDO 1.6-2.0 91-96, VW CADDY 1.6 95-, POLO 1.8  97-01</t>
  </si>
  <si>
    <t>6226   (061)</t>
  </si>
  <si>
    <t>77.19</t>
  </si>
  <si>
    <t>WA6226</t>
  </si>
  <si>
    <t>FORD TRANSIT 2.5DI/TD 92-00 /аналог LX583/</t>
  </si>
  <si>
    <t>9766   (062/1)</t>
  </si>
  <si>
    <t>289.16</t>
  </si>
  <si>
    <t>WA9766</t>
  </si>
  <si>
    <t>Audi A3 III| Seat Leon III| Skoda Octavia III| Volkswagen Golf VII 1.2-1.4 TSI, 12-  / E1105L , LX3525/</t>
  </si>
  <si>
    <t>6228   (063)</t>
  </si>
  <si>
    <t>WA6228</t>
  </si>
  <si>
    <t>9405   (063/1)</t>
  </si>
  <si>
    <t>96.26</t>
  </si>
  <si>
    <t>WA9405</t>
  </si>
  <si>
    <t>BMW 535i, 540i, 735i, 740i (M62 - eng.) 96- /аналог LX422/</t>
  </si>
  <si>
    <t>6229   (064)</t>
  </si>
  <si>
    <t>94.98</t>
  </si>
  <si>
    <t>WA6229</t>
  </si>
  <si>
    <t>LX59 VOLVO 240  2.0, 2.3 80-89,  360  2.0 80-90</t>
  </si>
  <si>
    <t>6230   (065)</t>
  </si>
  <si>
    <t>120.10</t>
  </si>
  <si>
    <t>WA6230</t>
  </si>
  <si>
    <t>VOLVO 740 2.0, 2.3 85-92, 940 2.0, 2.3 90-98</t>
  </si>
  <si>
    <t>6231   (066)</t>
  </si>
  <si>
    <t>174.19</t>
  </si>
  <si>
    <t>WA6231</t>
  </si>
  <si>
    <t>VOLVO 740 2.0T, 2.3T, 2.4D/TD, 940 2.0T, 2.3T, 2.4D/TD 90-98</t>
  </si>
  <si>
    <t>6232   (067)</t>
  </si>
  <si>
    <t>WA6232</t>
  </si>
  <si>
    <t>FORD ESCORT 1.4 94-99, 1.6 94-00, 1.8 92-, 1.8D 90-99</t>
  </si>
  <si>
    <t>93323E   (068)</t>
  </si>
  <si>
    <t>359.38</t>
  </si>
  <si>
    <t>93323E</t>
  </si>
  <si>
    <t>MB 510, 507D, 609D, 709D  86-</t>
  </si>
  <si>
    <t>93324E   (069)</t>
  </si>
  <si>
    <t>422.09</t>
  </si>
  <si>
    <t>93324E</t>
  </si>
  <si>
    <t>MB 611D, 614D, 711, 711D, 714, 714D, 811D, 814D  86-</t>
  </si>
  <si>
    <t>6236   (071)</t>
  </si>
  <si>
    <t>62.34</t>
  </si>
  <si>
    <t>WA6236</t>
  </si>
  <si>
    <t>OPEL CORSA, COMBO 1.2i, 1.4i  94-01</t>
  </si>
  <si>
    <t>6238   (072)</t>
  </si>
  <si>
    <t>84.71</t>
  </si>
  <si>
    <t>WA6238</t>
  </si>
  <si>
    <t>9507   (072/1)</t>
  </si>
  <si>
    <t>135.32</t>
  </si>
  <si>
    <t>WA9507</t>
  </si>
  <si>
    <t>CORSA D 06-&gt;</t>
  </si>
  <si>
    <t>9734   (072/4)</t>
  </si>
  <si>
    <t>258.35</t>
  </si>
  <si>
    <t>WA9734</t>
  </si>
  <si>
    <t>Opel Meriva B 1.3CDTI, 1.7CDTI</t>
  </si>
  <si>
    <t>6239   (073)</t>
  </si>
  <si>
    <t>WA6239</t>
  </si>
  <si>
    <t>6240   (074)</t>
  </si>
  <si>
    <t>WA6240</t>
  </si>
  <si>
    <t>FORD MONDEO 1.6-2.0 93-00</t>
  </si>
  <si>
    <t>6535   (074/1)</t>
  </si>
  <si>
    <t>WA6535</t>
  </si>
  <si>
    <t xml:space="preserve"> FORD Fiesta IV Focus, Connect 1.6-2.0i, 1.8TD  98-</t>
  </si>
  <si>
    <t>6674   (074/3)</t>
  </si>
  <si>
    <t>120.65</t>
  </si>
  <si>
    <t>WA6674</t>
  </si>
  <si>
    <t>FORD MONDEO all engines 11/00-</t>
  </si>
  <si>
    <t>9406   (074/4)</t>
  </si>
  <si>
    <t>143.39</t>
  </si>
  <si>
    <t>WA9406</t>
  </si>
  <si>
    <t>Mondeo I/ II 1, 6...2, 5L 16V / 93-00</t>
  </si>
  <si>
    <t>9666   (078/1)</t>
  </si>
  <si>
    <t>WA9666</t>
  </si>
  <si>
    <t>Fiat Punto EVO, Doblo, Panda 1,3 Multijet 10/09-&gt;</t>
  </si>
  <si>
    <t>9731   (078/2)</t>
  </si>
  <si>
    <t>148.16</t>
  </si>
  <si>
    <t>WA9731</t>
  </si>
  <si>
    <t>Citroen Nemo 1.3HDI| Fiat Qubo 1.3D| Lancia Y 1.3MJTD</t>
  </si>
  <si>
    <t>6246   (080)</t>
  </si>
  <si>
    <t>79.76</t>
  </si>
  <si>
    <t>WA6246</t>
  </si>
  <si>
    <t>9409   (080/10)</t>
  </si>
  <si>
    <t>119.18</t>
  </si>
  <si>
    <t>WA9409</t>
  </si>
  <si>
    <t>Citroen Berlingo II, Peugeot Partner II  1.9D, 2.0HDI 11/02-&gt;</t>
  </si>
  <si>
    <t>6669   (080/8)</t>
  </si>
  <si>
    <t>WA6669</t>
  </si>
  <si>
    <t>6249   (082)</t>
  </si>
  <si>
    <t>81.78</t>
  </si>
  <si>
    <t>WA6249</t>
  </si>
  <si>
    <t>OPEL KADETT 2.0i 88-91, DAEWOO ESPERO -99, NEXIA -97</t>
  </si>
  <si>
    <t>6250   (082/1)</t>
  </si>
  <si>
    <t>WA6250</t>
  </si>
  <si>
    <t>LANOS 1.4-1.6 97-</t>
  </si>
  <si>
    <t>6251   (082/2)</t>
  </si>
  <si>
    <t>101.21</t>
  </si>
  <si>
    <t>WA6251</t>
  </si>
  <si>
    <t>DAEWOO NUBIRA 1.6i, 2.0i 97-</t>
  </si>
  <si>
    <t>6253   (082/4)</t>
  </si>
  <si>
    <t>82.70</t>
  </si>
  <si>
    <t>WA6253</t>
  </si>
  <si>
    <t>9439   (082/5)</t>
  </si>
  <si>
    <t>105.25</t>
  </si>
  <si>
    <t>WA9439</t>
  </si>
  <si>
    <t>Aveo / Kalos 1.2-1.6  02-&gt; 96536697/ 96536696</t>
  </si>
  <si>
    <t>9440   (082/6)</t>
  </si>
  <si>
    <t>118.45</t>
  </si>
  <si>
    <t>WA9440</t>
  </si>
  <si>
    <t>9487   (082/7)</t>
  </si>
  <si>
    <t>WA9487</t>
  </si>
  <si>
    <t>Daewoo Rezzo, Tacuma 00-</t>
  </si>
  <si>
    <t>9639   (082/8)</t>
  </si>
  <si>
    <t>112.77</t>
  </si>
  <si>
    <t>WA9639</t>
  </si>
  <si>
    <t>Chevrolet Matiz 06/05--&gt;</t>
  </si>
  <si>
    <t>6259   (088)</t>
  </si>
  <si>
    <t>WA6259</t>
  </si>
  <si>
    <t>BMW 316i, 318i, 318is, 318ti (M42, M43, M44 - engines) 95-00</t>
  </si>
  <si>
    <t>6260   (089)</t>
  </si>
  <si>
    <t>206.46</t>
  </si>
  <si>
    <t>WA6260</t>
  </si>
  <si>
    <t>6262   (090)</t>
  </si>
  <si>
    <t>119.73</t>
  </si>
  <si>
    <t>WA6262</t>
  </si>
  <si>
    <t>FIAT SCUDO, PEUGEOT EXPERT, CITROEN JUMPY 1.6, 1.9D/TD 96- /аналог LX572/</t>
  </si>
  <si>
    <t>9559   (090/6)</t>
  </si>
  <si>
    <t>136.24</t>
  </si>
  <si>
    <t>WA9559</t>
  </si>
  <si>
    <t>6769   (092/3)</t>
  </si>
  <si>
    <t>WA6769</t>
  </si>
  <si>
    <t>FIAT STILO 1.2i  02-</t>
  </si>
  <si>
    <t>9459   (092/6)</t>
  </si>
  <si>
    <t>WA9459</t>
  </si>
  <si>
    <t>Fiat Punto II 1.3JTD (nr cz??ci oryginalnej 55183265)</t>
  </si>
  <si>
    <t>9528   (092/7)</t>
  </si>
  <si>
    <t>160.26</t>
  </si>
  <si>
    <t>WA9528</t>
  </si>
  <si>
    <t>Fiat 1.3JTD-wersja z prefiltrem</t>
  </si>
  <si>
    <t>9747   (093/3)</t>
  </si>
  <si>
    <t>171.80</t>
  </si>
  <si>
    <t>WA9747</t>
  </si>
  <si>
    <t>Jeep Compass, Patriot 06-</t>
  </si>
  <si>
    <t>9560   (098/3)</t>
  </si>
  <si>
    <t>WA9560</t>
  </si>
  <si>
    <t>Fiat Linea 1.4 T-Jet 10/07-, Grande Punto 1.9JTD 10/05- (ОЕ 55184249)</t>
  </si>
  <si>
    <t>6276   (099)</t>
  </si>
  <si>
    <t>90.95</t>
  </si>
  <si>
    <t>WA6276</t>
  </si>
  <si>
    <t>FORD MONDEO 1.8TD 93-00</t>
  </si>
  <si>
    <t>1000 = WP6800</t>
  </si>
  <si>
    <t>6800   (1000)</t>
  </si>
  <si>
    <t>105.80</t>
  </si>
  <si>
    <t>WP6800</t>
  </si>
  <si>
    <t>OPEL ASTRA 91-98, CORSA (+ A/C) 96-00, COMBO (+ A/C) 94-01</t>
  </si>
  <si>
    <t>1001 = WP6802</t>
  </si>
  <si>
    <t>6802   (1001)</t>
  </si>
  <si>
    <t>110.02</t>
  </si>
  <si>
    <t>WP6802</t>
  </si>
  <si>
    <t>OPEL OMEGA 94-</t>
  </si>
  <si>
    <t>1003 = WP6806</t>
  </si>
  <si>
    <t>6806   (1003)</t>
  </si>
  <si>
    <t>263.86</t>
  </si>
  <si>
    <t>WP6806</t>
  </si>
  <si>
    <t>AUDI 80 09/86-05/93 /372 X 127 X 24/</t>
  </si>
  <si>
    <t>1004 = WP6808</t>
  </si>
  <si>
    <t>6808   (1004)</t>
  </si>
  <si>
    <t>119.37</t>
  </si>
  <si>
    <t>WP6808</t>
  </si>
  <si>
    <t>1006 = WP6812</t>
  </si>
  <si>
    <t>6812   (1006)</t>
  </si>
  <si>
    <t>76.83</t>
  </si>
  <si>
    <t>WP6812</t>
  </si>
  <si>
    <t>1006A = WP6813</t>
  </si>
  <si>
    <t>6813   (1006A)</t>
  </si>
  <si>
    <t>192.53</t>
  </si>
  <si>
    <t>WP6813</t>
  </si>
  <si>
    <t>SKODA OCTAVIA 1.4-2.0, 1.9TDI 97-, VW 1.4-2.0, 1.9TDI 97-</t>
  </si>
  <si>
    <t>1008 = WP6816</t>
  </si>
  <si>
    <t>6816   (1008)</t>
  </si>
  <si>
    <t>137.33</t>
  </si>
  <si>
    <t>WP6816</t>
  </si>
  <si>
    <t>FORD MONDEO 94-</t>
  </si>
  <si>
    <t>1009 = WP6818</t>
  </si>
  <si>
    <t>6818   (1009)</t>
  </si>
  <si>
    <t>101.95</t>
  </si>
  <si>
    <t>WP6818</t>
  </si>
  <si>
    <t>OPEL VECTRA 95-02</t>
  </si>
  <si>
    <t>1014 = WP6828</t>
  </si>
  <si>
    <t>6828   (1014)</t>
  </si>
  <si>
    <t>121.01</t>
  </si>
  <si>
    <t>WP6828</t>
  </si>
  <si>
    <t>OPEL ASTRA 02/98-, ZAFIRA 04/99- (DELPHI-HOUSING)</t>
  </si>
  <si>
    <t>1016 = WP6832</t>
  </si>
  <si>
    <t>6832   (1016)</t>
  </si>
  <si>
    <t>217.83</t>
  </si>
  <si>
    <t>WP6832</t>
  </si>
  <si>
    <t>1018 = WP6836</t>
  </si>
  <si>
    <t>6836   (1018)</t>
  </si>
  <si>
    <t>160.81</t>
  </si>
  <si>
    <t>WP6836</t>
  </si>
  <si>
    <t>PEUGEOT 405 87-96</t>
  </si>
  <si>
    <t>102 = WA6278</t>
  </si>
  <si>
    <t>6278   (102)</t>
  </si>
  <si>
    <t>115.51</t>
  </si>
  <si>
    <t>WA6278</t>
  </si>
  <si>
    <t>HONDA ACCORD 2.0i, 2.2i 90-98</t>
  </si>
  <si>
    <t>102/3 = WA9488</t>
  </si>
  <si>
    <t>9488   (102/3)</t>
  </si>
  <si>
    <t>212.15</t>
  </si>
  <si>
    <t>WA9488</t>
  </si>
  <si>
    <t>ACCORD 03-&gt;</t>
  </si>
  <si>
    <t>1020A = WP6841</t>
  </si>
  <si>
    <t>6841   (1020A)</t>
  </si>
  <si>
    <t>179.69</t>
  </si>
  <si>
    <t>WP6841</t>
  </si>
  <si>
    <t>Peugeot 406,  95-, PORSCHE 911, 04-  (вугільний)</t>
  </si>
  <si>
    <t>1024 = WP6848</t>
  </si>
  <si>
    <t>6848   (1024)</t>
  </si>
  <si>
    <t>121.20</t>
  </si>
  <si>
    <t>WP6848</t>
  </si>
  <si>
    <t>VW SHARAN, SEAT ALHAMBRA, FORD GALAXY 95-</t>
  </si>
  <si>
    <t>1026-3x = WP6852</t>
  </si>
  <si>
    <t>6852   (1026-3x)</t>
  </si>
  <si>
    <t>234.15</t>
  </si>
  <si>
    <t>WP6852</t>
  </si>
  <si>
    <t>FORD SCORPIO 94-98 ЦЕНА ЗА КМП(3ШТ)</t>
  </si>
  <si>
    <t>1029 = 93135E</t>
  </si>
  <si>
    <t>93135E   (1029)</t>
  </si>
  <si>
    <t>142.65</t>
  </si>
  <si>
    <t>93135E</t>
  </si>
  <si>
    <t>Volvo FH12</t>
  </si>
  <si>
    <t>1031 = WP6900</t>
  </si>
  <si>
    <t>6900   (1031)</t>
  </si>
  <si>
    <t>221.68</t>
  </si>
  <si>
    <t>WP6900</t>
  </si>
  <si>
    <t>BMW E34 (+ A/C) 90-, E32</t>
  </si>
  <si>
    <t>1032 = WP6864</t>
  </si>
  <si>
    <t>6864   (1032)</t>
  </si>
  <si>
    <t>WP6864</t>
  </si>
  <si>
    <t>AUDI A6 94-97 (для автомобилей без кондиционера)</t>
  </si>
  <si>
    <t>1037 = WP6874</t>
  </si>
  <si>
    <t>6874   (1037)</t>
  </si>
  <si>
    <t>163.56</t>
  </si>
  <si>
    <t>WP6874</t>
  </si>
  <si>
    <t>104 = WA6280</t>
  </si>
  <si>
    <t>6280   (104)</t>
  </si>
  <si>
    <t>WA6280</t>
  </si>
  <si>
    <t>HONDA CIVIC 1.4i 95-01,  1.5i, 1.6i 91-01, ROVER 416SI 95-00</t>
  </si>
  <si>
    <t>104/1 = WA6527</t>
  </si>
  <si>
    <t>6527   (104/1)</t>
  </si>
  <si>
    <t>86.54</t>
  </si>
  <si>
    <t>WA6527</t>
  </si>
  <si>
    <t>HONDA CIVIC 1.5i, 1.6i 11/95-01/01, CR-V 2.0i 95-01</t>
  </si>
  <si>
    <t>104/7 = WA9584</t>
  </si>
  <si>
    <t>9584   (104/7)</t>
  </si>
  <si>
    <t>146.87</t>
  </si>
  <si>
    <t>WA9584</t>
  </si>
  <si>
    <t>Honda Civic VIII 1.4i, 1.8i 1/06- (ОЕ 17220RNAA00)</t>
  </si>
  <si>
    <t>1041 = 93116E</t>
  </si>
  <si>
    <t>93116E   (1041)</t>
  </si>
  <si>
    <t>190.69</t>
  </si>
  <si>
    <t>93116E</t>
  </si>
  <si>
    <t>MAN - trucks F90, F2000, M2000</t>
  </si>
  <si>
    <t>1045 = WP6890</t>
  </si>
  <si>
    <t>6890   (1045)</t>
  </si>
  <si>
    <t>126.88</t>
  </si>
  <si>
    <t>WP6890</t>
  </si>
  <si>
    <t>VW PASSAT B4 94-97 /255 X 180 X 29/</t>
  </si>
  <si>
    <t>1047A = WP6895</t>
  </si>
  <si>
    <t>6895   (1047A)</t>
  </si>
  <si>
    <t>209.58</t>
  </si>
  <si>
    <t>WP6895</t>
  </si>
  <si>
    <t>VW BORA, GOLF IV 08/97- (угольный)</t>
  </si>
  <si>
    <t>1049 = 93211E</t>
  </si>
  <si>
    <t>93211E   (1049)</t>
  </si>
  <si>
    <t>93211E</t>
  </si>
  <si>
    <t>MAN</t>
  </si>
  <si>
    <t>105/1 = WA9586</t>
  </si>
  <si>
    <t>9586   (105/1)</t>
  </si>
  <si>
    <t>272.65</t>
  </si>
  <si>
    <t>WA9586</t>
  </si>
  <si>
    <t>Honda CR-V III 2.0i V-TEC 1/07-&gt;</t>
  </si>
  <si>
    <t>1052 = WP6928</t>
  </si>
  <si>
    <t>6928   (1052)</t>
  </si>
  <si>
    <t>90.03</t>
  </si>
  <si>
    <t>WP6928</t>
  </si>
  <si>
    <t>RENAULT CLIO, KANGOO (+ A/C), MEGANE (- A/C) 98-</t>
  </si>
  <si>
    <t>1053-2x = WP6934</t>
  </si>
  <si>
    <t>6934   (1053-2x)</t>
  </si>
  <si>
    <t>WP6934</t>
  </si>
  <si>
    <t>MB W210 (с климатконтр.) 95-, W220 01-ЦЕНА ЗА КМП(2ШТ)</t>
  </si>
  <si>
    <t>1054 = WP6936</t>
  </si>
  <si>
    <t>6936   (1054)</t>
  </si>
  <si>
    <t>WP6936</t>
  </si>
  <si>
    <t xml:space="preserve">FORD Focus  98-04, Transit Connect 02- </t>
  </si>
  <si>
    <t>1054A = WP6937</t>
  </si>
  <si>
    <t>6937   (1054A)</t>
  </si>
  <si>
    <t>WP6937</t>
  </si>
  <si>
    <t>FORD Focus I 1.4 -2.0, 98-04, Transit Connect 1.8DCI  02- (вугільний)</t>
  </si>
  <si>
    <t>1060 = WP9104</t>
  </si>
  <si>
    <t>9104   (1060)</t>
  </si>
  <si>
    <t>143.02</t>
  </si>
  <si>
    <t>WP9104</t>
  </si>
  <si>
    <t>NISSAN ALMERA 08/00-</t>
  </si>
  <si>
    <t>1065 = WP6914</t>
  </si>
  <si>
    <t>6914   (1065)</t>
  </si>
  <si>
    <t>156.04</t>
  </si>
  <si>
    <t>WP6914</t>
  </si>
  <si>
    <t>MB A - KLASSE 97-</t>
  </si>
  <si>
    <t>1066 = WP6926</t>
  </si>
  <si>
    <t>6926   (1066)</t>
  </si>
  <si>
    <t>WP6926</t>
  </si>
  <si>
    <t>PEUGEOT 206 98-</t>
  </si>
  <si>
    <t>1068 = WP6940</t>
  </si>
  <si>
    <t>6940   (1068)</t>
  </si>
  <si>
    <t>236.35</t>
  </si>
  <si>
    <t>WP6940</t>
  </si>
  <si>
    <t>VW PASSAT B3 08/90-07/94 /192 X 254 X 46/</t>
  </si>
  <si>
    <t>107/10 = WA9712</t>
  </si>
  <si>
    <t>9712   (107/10)</t>
  </si>
  <si>
    <t>154.75</t>
  </si>
  <si>
    <t>WA9712</t>
  </si>
  <si>
    <t>Kia Sorento II , Santa FE II 2.2CRDI,   09-</t>
  </si>
  <si>
    <t>107/7 = WA9709</t>
  </si>
  <si>
    <t>9709   (107/7)</t>
  </si>
  <si>
    <t>WA9709</t>
  </si>
  <si>
    <t>Hyundai i20, KIA Venga Soul 1.4-1.6 10-</t>
  </si>
  <si>
    <t>107/8 = WA9710</t>
  </si>
  <si>
    <t>9710   (107/8)</t>
  </si>
  <si>
    <t>227.00</t>
  </si>
  <si>
    <t>WA9710</t>
  </si>
  <si>
    <t>Hyundai ix35 2.0, 2.0CRDI| Kia Sportage 2.0, 2.0CRDI 7/10-&gt;</t>
  </si>
  <si>
    <t>1079 = WP9036</t>
  </si>
  <si>
    <t>9036   (1079)</t>
  </si>
  <si>
    <t>WP9036</t>
  </si>
  <si>
    <t>1079A = WP9037</t>
  </si>
  <si>
    <t>9037   (1079A)</t>
  </si>
  <si>
    <t>169.79</t>
  </si>
  <si>
    <t>WP9037</t>
  </si>
  <si>
    <t>Audi A2/ Fabia/ Polo 00- (вугільний)</t>
  </si>
  <si>
    <t>108/10 = WA9702</t>
  </si>
  <si>
    <t>9702   (108/10)</t>
  </si>
  <si>
    <t>211.23</t>
  </si>
  <si>
    <t>WA9702</t>
  </si>
  <si>
    <t>Hyundai H1 2.5CRDI 2/08-&gt;</t>
  </si>
  <si>
    <t>108/2 = WA6724</t>
  </si>
  <si>
    <t>6724   (108/2)</t>
  </si>
  <si>
    <t>77.01</t>
  </si>
  <si>
    <t>WA6724</t>
  </si>
  <si>
    <t>HYUNDAI ELANTRA 1.6i, 2.0i, 2.0CRDI 00-, SANTA FE 2.0CRDI 01-</t>
  </si>
  <si>
    <t>108/3 = WA6713</t>
  </si>
  <si>
    <t>6713   (108/3)</t>
  </si>
  <si>
    <t>WA6713</t>
  </si>
  <si>
    <t>HYUNDAI SONATA 2.0i, 2.5i, 2.7i 06/98-, TRAJET (all eng.)</t>
  </si>
  <si>
    <t>108/4 = WA9433</t>
  </si>
  <si>
    <t>9433   (108/4)</t>
  </si>
  <si>
    <t>95.53</t>
  </si>
  <si>
    <t>WA9433</t>
  </si>
  <si>
    <t>HYUNDAI GETZ 02-&gt; (LX1465)</t>
  </si>
  <si>
    <t>108/6 = WA9615</t>
  </si>
  <si>
    <t>9615   (108/6)</t>
  </si>
  <si>
    <t>108.92</t>
  </si>
  <si>
    <t>WA9615</t>
  </si>
  <si>
    <t>Hyundai Accent 11/05--&gt;, Kia Rio II 3/05--&gt;</t>
  </si>
  <si>
    <t>108/9 = WA9667</t>
  </si>
  <si>
    <t>9667   (108/9)</t>
  </si>
  <si>
    <t>130.55</t>
  </si>
  <si>
    <t>WA9667</t>
  </si>
  <si>
    <t>Kia Carens III 2.0CVVT, Magentis II 2.0i, 2.7i 11/05</t>
  </si>
  <si>
    <t>1081 = WP9034</t>
  </si>
  <si>
    <t>9034   (1081)</t>
  </si>
  <si>
    <t>134.77</t>
  </si>
  <si>
    <t>WP9034</t>
  </si>
  <si>
    <t>OPEL CORSA 09/00-, VECTRA 04/02-</t>
  </si>
  <si>
    <t>1083A = WP9027</t>
  </si>
  <si>
    <t>9027   (1083A)</t>
  </si>
  <si>
    <t>184.46</t>
  </si>
  <si>
    <t>WP9027</t>
  </si>
  <si>
    <t>SUBARU Outback, Tribeca 2.5-3.0  03-,  TOYOTA Celica II, Landcruiser, Yaris  99 -10 (вугільний)</t>
  </si>
  <si>
    <t>1088 = WP6984</t>
  </si>
  <si>
    <t>6984   (1088)</t>
  </si>
  <si>
    <t>WP6984</t>
  </si>
  <si>
    <t>MB SPRINTER 01/95-, VW LT 05/96-</t>
  </si>
  <si>
    <t>109/9 = WA9768</t>
  </si>
  <si>
    <t>9768   (109/9)</t>
  </si>
  <si>
    <t>153.84</t>
  </si>
  <si>
    <t>WA9768</t>
  </si>
  <si>
    <t>Chevrolet Aveo II 11-</t>
  </si>
  <si>
    <t>1091 = 93212E</t>
  </si>
  <si>
    <t>93212E   (1091)</t>
  </si>
  <si>
    <t>152.74</t>
  </si>
  <si>
    <t>93212E</t>
  </si>
  <si>
    <t>DAF - trucks   95XF SERIE  97-02</t>
  </si>
  <si>
    <t>1093 = WP9112</t>
  </si>
  <si>
    <t>9112   (1093)</t>
  </si>
  <si>
    <t>WP9112</t>
  </si>
  <si>
    <t>Citroen C3 &amp; Pegeout 307 / =6447KK</t>
  </si>
  <si>
    <t>1093A = WP9113</t>
  </si>
  <si>
    <t>9113   (1093A)</t>
  </si>
  <si>
    <t>220.22</t>
  </si>
  <si>
    <t>WP9113</t>
  </si>
  <si>
    <t>1101 = WP9130</t>
  </si>
  <si>
    <t>9130   (1101)</t>
  </si>
  <si>
    <t>106.16</t>
  </si>
  <si>
    <t>WP9130</t>
  </si>
  <si>
    <t>FIAT DOBLO/PUNTO 01-&gt;(LA144)</t>
  </si>
  <si>
    <t>1102 = WP9114</t>
  </si>
  <si>
    <t>9114   (1102)</t>
  </si>
  <si>
    <t>122.48</t>
  </si>
  <si>
    <t>WP9114</t>
  </si>
  <si>
    <t>Xsara Picasso 00-</t>
  </si>
  <si>
    <t>1108 = WP6978</t>
  </si>
  <si>
    <t>6978   (1108)</t>
  </si>
  <si>
    <t>343.98</t>
  </si>
  <si>
    <t>WP6978</t>
  </si>
  <si>
    <t>MB VITO 96-03 /360 X 200 X 28/</t>
  </si>
  <si>
    <t>1110 = WP9110</t>
  </si>
  <si>
    <t>9110   (1110)</t>
  </si>
  <si>
    <t>137.88</t>
  </si>
  <si>
    <t>WP9110</t>
  </si>
  <si>
    <t>FORD Ford Fiesta V (02-), Fusion/Fusion Plus</t>
  </si>
  <si>
    <t>1110A = WP9111</t>
  </si>
  <si>
    <t>9111   (1110A)</t>
  </si>
  <si>
    <t>214.71</t>
  </si>
  <si>
    <t>WP9111</t>
  </si>
  <si>
    <t>FORD FIESTA V, FUSION 1.25-1.6 02-</t>
  </si>
  <si>
    <t>1111 = WP9146</t>
  </si>
  <si>
    <t>9146   (1111)</t>
  </si>
  <si>
    <t>WP9146</t>
  </si>
  <si>
    <t>VAG A3/ EOS/ GOLF V/ PASSAT/ TOURAN/ OCTAVIA 1, 4-2, 0L 05/ 03-&gt;</t>
  </si>
  <si>
    <t>1111A = WP9147</t>
  </si>
  <si>
    <t>9147   (1111A)</t>
  </si>
  <si>
    <t>171.99</t>
  </si>
  <si>
    <t>WP9147</t>
  </si>
  <si>
    <t>VAG A3/ Golf 5/ Jetta III/ Polo/ Caddy/ Passat/ Touran &amp; Skoda Octavia all 04-&gt; (see OE) /AHC328/</t>
  </si>
  <si>
    <t>1113 = WP9096</t>
  </si>
  <si>
    <t>9096   (1113)</t>
  </si>
  <si>
    <t>WP9096</t>
  </si>
  <si>
    <t>FORD Transit 8/ 00-</t>
  </si>
  <si>
    <t>112 = WA6289</t>
  </si>
  <si>
    <t>6289   (112)</t>
  </si>
  <si>
    <t>95.35</t>
  </si>
  <si>
    <t>WA6289</t>
  </si>
  <si>
    <t>MAZDA 626 (2.0 16V 87-92, 2.2i 94-98), 323 (2.0i 94-98)  /аналог LX547/</t>
  </si>
  <si>
    <t>1121 = WP9246</t>
  </si>
  <si>
    <t>9246   (1121)</t>
  </si>
  <si>
    <t>183.17</t>
  </si>
  <si>
    <t>WP9246</t>
  </si>
  <si>
    <t>1123 = WP9136</t>
  </si>
  <si>
    <t>9136   (1123)</t>
  </si>
  <si>
    <t>93.33</t>
  </si>
  <si>
    <t>WP9136</t>
  </si>
  <si>
    <t>Toyota AVENSIS(T25_)/ COROLLA(E12_) 1, 4…2, 4L &amp; Diesel all 02-&gt; 220X200X19mm</t>
  </si>
  <si>
    <t>1127 = WP9142</t>
  </si>
  <si>
    <t>9142   (1127)</t>
  </si>
  <si>
    <t>WP9142</t>
  </si>
  <si>
    <t>Citroen Berlingo 02-/ Peugeot Partner 02-</t>
  </si>
  <si>
    <t>113/1 = WA9441</t>
  </si>
  <si>
    <t>9441   (113/1)</t>
  </si>
  <si>
    <t>145.03</t>
  </si>
  <si>
    <t>WA9441</t>
  </si>
  <si>
    <t>MAZDA 6 1, 8i/ 2, 0i 02-, MPV II 2, 3i 02-</t>
  </si>
  <si>
    <t>113/3 = WA9579</t>
  </si>
  <si>
    <t>9579   (113/3)</t>
  </si>
  <si>
    <t>WA9579</t>
  </si>
  <si>
    <t>Mazda 2, Mazda 3 - 1.3i, 1.4i, 1.5i, 1.6i -  03- (ОЕ ZJ0113Z40)</t>
  </si>
  <si>
    <t>1130 = WP9174</t>
  </si>
  <si>
    <t>9174   (1130)</t>
  </si>
  <si>
    <t>243.68</t>
  </si>
  <si>
    <t>WP9174</t>
  </si>
  <si>
    <t>Renault Megane II 03-&gt;</t>
  </si>
  <si>
    <t>1133 = 93227E</t>
  </si>
  <si>
    <t>93227E   (1133)</t>
  </si>
  <si>
    <t>207.93</t>
  </si>
  <si>
    <t>93227E</t>
  </si>
  <si>
    <t>MAN TG-A 00-&gt;, 02-&gt;, 04-&gt;| F18759</t>
  </si>
  <si>
    <t>1136A = WP9003</t>
  </si>
  <si>
    <t>9003   (1136A)</t>
  </si>
  <si>
    <t>258.72</t>
  </si>
  <si>
    <t>WP9003</t>
  </si>
  <si>
    <t>BMW E46 02/98- (угольный) /674.6 X 104.5 X 20/</t>
  </si>
  <si>
    <t>1141 = WP9398</t>
  </si>
  <si>
    <t>9398   (1141)</t>
  </si>
  <si>
    <t>150.17</t>
  </si>
  <si>
    <t>WP9398</t>
  </si>
  <si>
    <t>LADA 2110, 2111, 2112</t>
  </si>
  <si>
    <t>1146 = WP9148</t>
  </si>
  <si>
    <t>9148   (1146)</t>
  </si>
  <si>
    <t>201.15</t>
  </si>
  <si>
    <t>WP9148</t>
  </si>
  <si>
    <t>1148 = WP9162</t>
  </si>
  <si>
    <t>9162   (1148)</t>
  </si>
  <si>
    <t>153.29</t>
  </si>
  <si>
    <t>WP9162</t>
  </si>
  <si>
    <t>FORD Mondeo III/ Cougar all mot. -&gt;01</t>
  </si>
  <si>
    <t>1149 = WP9200</t>
  </si>
  <si>
    <t>9200   (1149)</t>
  </si>
  <si>
    <t>210.49</t>
  </si>
  <si>
    <t>WP9200</t>
  </si>
  <si>
    <t>HYUNDAI Coupe/Elantra 1.6-2.0  -09  аналог LA440</t>
  </si>
  <si>
    <t>1150 = WP9230</t>
  </si>
  <si>
    <t>9230   (1150)</t>
  </si>
  <si>
    <t>WP9230</t>
  </si>
  <si>
    <t>FORD FOCUS II 04-   Volvo S40, V50   04-</t>
  </si>
  <si>
    <t>1150A = WP9231</t>
  </si>
  <si>
    <t>9231   (1150A)</t>
  </si>
  <si>
    <t>224.98</t>
  </si>
  <si>
    <t>WP9231</t>
  </si>
  <si>
    <t>Ford Focus II 1.4-2.0</t>
  </si>
  <si>
    <t>1152 = WP6990</t>
  </si>
  <si>
    <t>6990   (1152)</t>
  </si>
  <si>
    <t>140.08</t>
  </si>
  <si>
    <t>WP6990</t>
  </si>
  <si>
    <t>NISSAN Micra (K12)/ Note(E11) 1, 0-1, 6L 01/ 03-&gt;</t>
  </si>
  <si>
    <t>1154 = WP9164</t>
  </si>
  <si>
    <t>9164   (1154)</t>
  </si>
  <si>
    <t>143.20</t>
  </si>
  <si>
    <t>WP9164</t>
  </si>
  <si>
    <t>FORD Focus C-Max &amp; S-Max 1, 6…2, 5L &amp; Diesel 04-</t>
  </si>
  <si>
    <t>1154A = WP9165</t>
  </si>
  <si>
    <t>9165   (1154A)</t>
  </si>
  <si>
    <t>162.27</t>
  </si>
  <si>
    <t>WP9165</t>
  </si>
  <si>
    <t>FORD Focus, C-MAX, S-MAX Galaxy II,  VOLVO S40 II  03-  (вугільний)</t>
  </si>
  <si>
    <t>1155 = WP9166</t>
  </si>
  <si>
    <t>9166   (1155)</t>
  </si>
  <si>
    <t>118.26</t>
  </si>
  <si>
    <t>WP9166</t>
  </si>
  <si>
    <t>VAG Q7/ T5/ Multivan/ Touareg &amp; Porsche Cayenne 2, 5…6, 0L &amp; Diesel 03-&gt;</t>
  </si>
  <si>
    <t>1155A = WP9167</t>
  </si>
  <si>
    <t>9167   (1155A)</t>
  </si>
  <si>
    <t>237.63</t>
  </si>
  <si>
    <t>WP9167</t>
  </si>
  <si>
    <t>VAG Q7/ T5/ Multivan/ Touareg &amp; Porsche Cayenne 03- (вугільний)</t>
  </si>
  <si>
    <t>1156 = WP9214</t>
  </si>
  <si>
    <t>9214   (1156)</t>
  </si>
  <si>
    <t>194.73</t>
  </si>
  <si>
    <t>WP9214</t>
  </si>
  <si>
    <t>Iveco Daily 99--&gt;</t>
  </si>
  <si>
    <t>1161 = WP9186</t>
  </si>
  <si>
    <t>9186   (1161)</t>
  </si>
  <si>
    <t>127.80</t>
  </si>
  <si>
    <t>WP9186</t>
  </si>
  <si>
    <t>MAZDA 6 02-&gt;(LA158)</t>
  </si>
  <si>
    <t>1162-2x = WP9188</t>
  </si>
  <si>
    <t>9188   (1162-2x)</t>
  </si>
  <si>
    <t>WP9188</t>
  </si>
  <si>
    <t>AUDI A6 04-&gt; (LA239)</t>
  </si>
  <si>
    <t>1166 = WP9238</t>
  </si>
  <si>
    <t>9238   (1166)</t>
  </si>
  <si>
    <t>WP9238</t>
  </si>
  <si>
    <t xml:space="preserve">LACETTI/NUBIRA  /208 Х 230 Х 26/  03- </t>
  </si>
  <si>
    <t>1178 = WP9254</t>
  </si>
  <si>
    <t>9254   (1178)</t>
  </si>
  <si>
    <t>167.04</t>
  </si>
  <si>
    <t>WP9254</t>
  </si>
  <si>
    <t>AVEO кроме 1.6 (Китай) 02-&gt; (LA361)</t>
  </si>
  <si>
    <t>118/1 = WA6297</t>
  </si>
  <si>
    <t>6297   (118/1)</t>
  </si>
  <si>
    <t>146.14</t>
  </si>
  <si>
    <t>WA6297</t>
  </si>
  <si>
    <t>118/3-2x = WA6587</t>
  </si>
  <si>
    <t>6587   (118/3-2x)</t>
  </si>
  <si>
    <t>WA6587</t>
  </si>
  <si>
    <t>118/4 = WA6588</t>
  </si>
  <si>
    <t>6588   (118/4)</t>
  </si>
  <si>
    <t>172.18</t>
  </si>
  <si>
    <t>WA6588</t>
  </si>
  <si>
    <t>MB W124 (280E, 320E, E280, E320)  92-95, CHERY AMULET</t>
  </si>
  <si>
    <t>118/6 = WA6663</t>
  </si>
  <si>
    <t>6663   (118/6)</t>
  </si>
  <si>
    <t>141.19</t>
  </si>
  <si>
    <t>WA6663</t>
  </si>
  <si>
    <t>MB (W202) C180-C230, C200D-C250D 93-99, (W163) ML230-ML430 98-</t>
  </si>
  <si>
    <t>118/7 = WA6652</t>
  </si>
  <si>
    <t>6652   (118/7)</t>
  </si>
  <si>
    <t>186.66</t>
  </si>
  <si>
    <t>WA6652</t>
  </si>
  <si>
    <t>MB W210 (E200 COMPRESSOR, E240, E280, E320)  99-02</t>
  </si>
  <si>
    <t>1185 = 93248E</t>
  </si>
  <si>
    <t>93248E   (1185)</t>
  </si>
  <si>
    <t>245.33</t>
  </si>
  <si>
    <t>93248E</t>
  </si>
  <si>
    <t>Daf CF85 1/01--&gt;</t>
  </si>
  <si>
    <t>1187 = WP9224</t>
  </si>
  <si>
    <t>9224   (1187)</t>
  </si>
  <si>
    <t>109.65</t>
  </si>
  <si>
    <t>WP9224</t>
  </si>
  <si>
    <t>1187A = WP9225</t>
  </si>
  <si>
    <t>9225   (1187A)</t>
  </si>
  <si>
    <t>146.32</t>
  </si>
  <si>
    <t>WP9225</t>
  </si>
  <si>
    <t>Honda Accord VIII (03-), Accord IX (08-), Civic VIII, Civic IX, CR-V III, CRV IV, Legend</t>
  </si>
  <si>
    <t>1188 = WP9222</t>
  </si>
  <si>
    <t>9222   (1188)</t>
  </si>
  <si>
    <t>181.53</t>
  </si>
  <si>
    <t>WP9222</t>
  </si>
  <si>
    <t>VIANO/VITO 109-122CDI  03-</t>
  </si>
  <si>
    <t>120 = WA6299</t>
  </si>
  <si>
    <t>6299   (120)</t>
  </si>
  <si>
    <t>WA6299</t>
  </si>
  <si>
    <t>MAZDA XEDOS 9  2.5i V6 93-, MITSUBISHI GALANT 1.8i  92-</t>
  </si>
  <si>
    <t>120/2 = WA9589</t>
  </si>
  <si>
    <t>9589   (120/2)</t>
  </si>
  <si>
    <t>213.25</t>
  </si>
  <si>
    <t>WA9589</t>
  </si>
  <si>
    <t>Mitsubishi L200 2.5 DID 5/06- (ОЕ 1500A098)  /LX2834/</t>
  </si>
  <si>
    <t>120/4 = WA9623</t>
  </si>
  <si>
    <t>9623   (120/4)</t>
  </si>
  <si>
    <t>183.36</t>
  </si>
  <si>
    <t>WA9623</t>
  </si>
  <si>
    <t>Citroen C-Crosser| Mitsubishi Outlander 2.0 D-iD, 2.2 D-iD| Peugeot 4007 2.2HDI</t>
  </si>
  <si>
    <t>1207 = WP9276</t>
  </si>
  <si>
    <t>9276   (1207)</t>
  </si>
  <si>
    <t>193.08</t>
  </si>
  <si>
    <t>WP9276</t>
  </si>
  <si>
    <t>Citroen C1, Peugeot 107, Toyota Aygo 6/05</t>
  </si>
  <si>
    <t>121/3 = WA9715</t>
  </si>
  <si>
    <t>9715   (121/3)</t>
  </si>
  <si>
    <t>154.94</t>
  </si>
  <si>
    <t>WA9715</t>
  </si>
  <si>
    <t>Subaru Forester, Impreza, Legacy, Outback 2.0-3.0, 09/03-</t>
  </si>
  <si>
    <t>1210 = WP9290</t>
  </si>
  <si>
    <t>9290   (1210)</t>
  </si>
  <si>
    <t>140.27</t>
  </si>
  <si>
    <t>WP9290</t>
  </si>
  <si>
    <t xml:space="preserve">Toyota Auris, Avensis, Camry (V40), Corolla, Rav4  05- </t>
  </si>
  <si>
    <t>1212-2x = WP9282</t>
  </si>
  <si>
    <t>9282   (1212-2x)</t>
  </si>
  <si>
    <t>176.02</t>
  </si>
  <si>
    <t>WP9282</t>
  </si>
  <si>
    <t>MAZDA 3 1, 4-2, 0 03-&gt;</t>
  </si>
  <si>
    <t>1216A = WP9293</t>
  </si>
  <si>
    <t>9293   (1216A)</t>
  </si>
  <si>
    <t>WP9293</t>
  </si>
  <si>
    <t>SMART/COLT 04-&gt;(LAK251)</t>
  </si>
  <si>
    <t>1217 = WP9294</t>
  </si>
  <si>
    <t>9294   (1217)</t>
  </si>
  <si>
    <t>198.39</t>
  </si>
  <si>
    <t>WP9294</t>
  </si>
  <si>
    <t>NISSAN  Nissan Murano, X-Trail  05/01--&gt;, Infiniti FX, G35 (без корпуса)</t>
  </si>
  <si>
    <t>1219 = WP9298</t>
  </si>
  <si>
    <t>9298   (1219)</t>
  </si>
  <si>
    <t>173.82</t>
  </si>
  <si>
    <t>WP9298</t>
  </si>
  <si>
    <t>122/6 = WA9717</t>
  </si>
  <si>
    <t>9717   (122/6)</t>
  </si>
  <si>
    <t>159.15</t>
  </si>
  <si>
    <t>WA9717</t>
  </si>
  <si>
    <t>Hyundai Accent, Kia Rio II 1.5CRDI, 05-10</t>
  </si>
  <si>
    <t>122/7 = WA9749</t>
  </si>
  <si>
    <t>9749   (122/7)</t>
  </si>
  <si>
    <t>152.92</t>
  </si>
  <si>
    <t>WA9749</t>
  </si>
  <si>
    <t xml:space="preserve">(LX 2832) Hyundai Santa Fe II 2.2CRDI, 2.7 V6 --&gt;12/09 </t>
  </si>
  <si>
    <t>122/8 = WA9772</t>
  </si>
  <si>
    <t>9772   (122/8)</t>
  </si>
  <si>
    <t>132.93</t>
  </si>
  <si>
    <t>WA9772</t>
  </si>
  <si>
    <t>Hyundai Solaris, Veloster| Kia Rio III, Soul</t>
  </si>
  <si>
    <t>122/9 = WA9775</t>
  </si>
  <si>
    <t>9775   (122/9)</t>
  </si>
  <si>
    <t>134.40</t>
  </si>
  <si>
    <t>WA9775</t>
  </si>
  <si>
    <t>Hyundai Elantra III, I30 II| Kia Ceed II</t>
  </si>
  <si>
    <t>1223 = WP9356</t>
  </si>
  <si>
    <t>9356   (1223)</t>
  </si>
  <si>
    <t>152.19</t>
  </si>
  <si>
    <t>WP9356</t>
  </si>
  <si>
    <t>Chevrolet Cruze| Opel Astra J, Insignia</t>
  </si>
  <si>
    <t>1223A = WP9357</t>
  </si>
  <si>
    <t>9357   (1223A)</t>
  </si>
  <si>
    <t>216.55</t>
  </si>
  <si>
    <t>WP9357</t>
  </si>
  <si>
    <t>1227-2x = WP9318</t>
  </si>
  <si>
    <t>9318   (1227-2x)</t>
  </si>
  <si>
    <t>WP9318</t>
  </si>
  <si>
    <t>Citroen Berlingo 08--&gt;, C4 Picasso, Peugeot Partner 08--&gt;</t>
  </si>
  <si>
    <t>1228 = WP9320</t>
  </si>
  <si>
    <t>9320   (1228)</t>
  </si>
  <si>
    <t>223.70</t>
  </si>
  <si>
    <t>WP9320</t>
  </si>
  <si>
    <t>Citroen Nemo, Peugeot Bipper, Fiat Linea (ОЕ 77364561| PEUGEOT 6479.63)  /LA457/</t>
  </si>
  <si>
    <t>1229 = WP2000</t>
  </si>
  <si>
    <t>2000   (1229)</t>
  </si>
  <si>
    <t>144.30</t>
  </si>
  <si>
    <t>WP2000</t>
  </si>
  <si>
    <t>LADA Kalina (1117 - 1119)</t>
  </si>
  <si>
    <t>1231 = WP9300</t>
  </si>
  <si>
    <t>9300   (1231)</t>
  </si>
  <si>
    <t>83.61</t>
  </si>
  <si>
    <t>WP9300</t>
  </si>
  <si>
    <t>KIA CERATO 04-&gt;</t>
  </si>
  <si>
    <t>1232 = WP9302</t>
  </si>
  <si>
    <t>9302   (1232)    !!заміна для 9304   (1233)</t>
  </si>
  <si>
    <t>99.01</t>
  </si>
  <si>
    <t>WP9302</t>
  </si>
  <si>
    <t>TUCSON/SPORTAGE 04-&gt;</t>
  </si>
  <si>
    <t>1234 = WP2028</t>
  </si>
  <si>
    <t>2028   (1234)</t>
  </si>
  <si>
    <t>195.09</t>
  </si>
  <si>
    <t>WP2028</t>
  </si>
  <si>
    <t>Chevrolet Aveo CT 07-&gt; (China Shanghai manufacture)</t>
  </si>
  <si>
    <t>1235A-2x = WP9307</t>
  </si>
  <si>
    <t>9307   (1235A-2x)</t>
  </si>
  <si>
    <t>302.54</t>
  </si>
  <si>
    <t>WP9307</t>
  </si>
  <si>
    <t>Renault Laguna III  07-</t>
  </si>
  <si>
    <t>1237A = WP9309</t>
  </si>
  <si>
    <t>9309   (1237A)</t>
  </si>
  <si>
    <t>315.01</t>
  </si>
  <si>
    <t>WP9309</t>
  </si>
  <si>
    <t>Landrover Freelander, Volvo S80 II, V70 II, XC60 (ОЕ 30767024)</t>
  </si>
  <si>
    <t>1238 = WP9310</t>
  </si>
  <si>
    <t>9310   (1238)</t>
  </si>
  <si>
    <t>188.31</t>
  </si>
  <si>
    <t>WP9310</t>
  </si>
  <si>
    <t>Citroen Jumpy II, Fiat Scudo II, Peugeot Expert II 07-</t>
  </si>
  <si>
    <t>1238A = WP9311</t>
  </si>
  <si>
    <t>9311   (1238A)</t>
  </si>
  <si>
    <t>267.89</t>
  </si>
  <si>
    <t>WP9311</t>
  </si>
  <si>
    <t>Citroen Jumpy II, Fiat Scudo II, Peugeot Expert II   07-  /LA410, LAK410/</t>
  </si>
  <si>
    <t>124 = WA6305</t>
  </si>
  <si>
    <t>6305   (124)</t>
  </si>
  <si>
    <t>79.21</t>
  </si>
  <si>
    <t>WA6305</t>
  </si>
  <si>
    <t>NISSAN MICRA 1.0i 16V  92-, 1.3i 16V  92-00, 1.4i 16V  00-</t>
  </si>
  <si>
    <t>124/1 = WA9604</t>
  </si>
  <si>
    <t>9604   (124/1)</t>
  </si>
  <si>
    <t>97.91</t>
  </si>
  <si>
    <t>WA9604</t>
  </si>
  <si>
    <t>Nissan Micra 1.6i 16V, Note 1.6i, Quashqai 1.5DCi, Tiida</t>
  </si>
  <si>
    <t>1240A = WP9313</t>
  </si>
  <si>
    <t>9313   (1240A)</t>
  </si>
  <si>
    <t>263.67</t>
  </si>
  <si>
    <t>WP9313</t>
  </si>
  <si>
    <t>Mitsubishi Lancer, Outlander, Gradis, L200,  04-</t>
  </si>
  <si>
    <t>1241 = WP9322</t>
  </si>
  <si>
    <t>9322   (1241)</t>
  </si>
  <si>
    <t>148.52</t>
  </si>
  <si>
    <t>WP9322</t>
  </si>
  <si>
    <t xml:space="preserve">Citroen C-crosser 07- ,  Mitsubishi ASX, Outlander II, III, 06- , Peugeot 4007, 4008,  07- </t>
  </si>
  <si>
    <t>1245 = WP9324</t>
  </si>
  <si>
    <t>9324   (1245)</t>
  </si>
  <si>
    <t>160.99</t>
  </si>
  <si>
    <t>WP9324</t>
  </si>
  <si>
    <t>Kia Ceed, Hyundai I30 (ОЕ 971331H000)  /LA441/</t>
  </si>
  <si>
    <t>1248-2x = WP9336</t>
  </si>
  <si>
    <t>9336   (1248-2x)</t>
  </si>
  <si>
    <t>156.59</t>
  </si>
  <si>
    <t>WP9336</t>
  </si>
  <si>
    <t>Renault Kangoo  08-&gt;  (ОЕ 7701209837) /LA468/S/</t>
  </si>
  <si>
    <t>125 = WA6306</t>
  </si>
  <si>
    <t>6306   (125)</t>
  </si>
  <si>
    <t>WA6306</t>
  </si>
  <si>
    <t>TOYOTA CELICA 1.6i 85-89, CAMRY 2.0 86-91, DAIHATSY CHARADE 92-</t>
  </si>
  <si>
    <t>1251 = WP9360</t>
  </si>
  <si>
    <t>9360   (1251)</t>
  </si>
  <si>
    <t>189.96</t>
  </si>
  <si>
    <t>WP9360</t>
  </si>
  <si>
    <t>Ford Fiesta VI 08-&gt;</t>
  </si>
  <si>
    <t>1255 = WP9350</t>
  </si>
  <si>
    <t>9350   (1255)</t>
  </si>
  <si>
    <t>136.05</t>
  </si>
  <si>
    <t>WP9350</t>
  </si>
  <si>
    <t>Nissan Quashqai, X-Trail II</t>
  </si>
  <si>
    <t>1260A-2x = WP2015</t>
  </si>
  <si>
    <t>2015   (1260A-2x)</t>
  </si>
  <si>
    <t>416.96</t>
  </si>
  <si>
    <t>WP2015</t>
  </si>
  <si>
    <t>BMW 5 (F10/F11/F18), 7 (F01/F02), 10-</t>
  </si>
  <si>
    <t>1261 = WP9368</t>
  </si>
  <si>
    <t>9368   (1261)</t>
  </si>
  <si>
    <t>155.49</t>
  </si>
  <si>
    <t>WP9368</t>
  </si>
  <si>
    <t>Citroen Jumper III| Fiat Ducato| Peugeot Boxer III 7/06--&gt;</t>
  </si>
  <si>
    <t>1264 = WP9370</t>
  </si>
  <si>
    <t>9370   (1264)</t>
  </si>
  <si>
    <t>WP9370</t>
  </si>
  <si>
    <t>Suzuki Grand Vitara 4/05-&gt;</t>
  </si>
  <si>
    <t>1265A = WP9327</t>
  </si>
  <si>
    <t>9327   (1265A)</t>
  </si>
  <si>
    <t>303.09</t>
  </si>
  <si>
    <t>WP9327</t>
  </si>
  <si>
    <t>BMW X5 (E53)00-, Landrover Range Rover III (ОЕ 64318409044)</t>
  </si>
  <si>
    <t>1269A = WP2017</t>
  </si>
  <si>
    <t>2017   (1269A)</t>
  </si>
  <si>
    <t>224.61</t>
  </si>
  <si>
    <t>WP2017</t>
  </si>
  <si>
    <t>Porsche Cayenne II, VW Touareg II, 3.0-4.8,  10-</t>
  </si>
  <si>
    <t>1270-2x = WP9338</t>
  </si>
  <si>
    <t>9338   (1270-2x)</t>
  </si>
  <si>
    <t>357.73</t>
  </si>
  <si>
    <t>WP9338</t>
  </si>
  <si>
    <t>BMW X5 (E70)  (ОЕ 64316945585, 64116945593)</t>
  </si>
  <si>
    <t>1270A-2x = WP9339</t>
  </si>
  <si>
    <t>9339   (1270A-2x)</t>
  </si>
  <si>
    <t>451.43</t>
  </si>
  <si>
    <t>WP9339</t>
  </si>
  <si>
    <t>1273A = WP9373</t>
  </si>
  <si>
    <t>9373   (1273A) !!заміна для 9372   (1273A)</t>
  </si>
  <si>
    <t>282.55</t>
  </si>
  <si>
    <t>WP9373</t>
  </si>
  <si>
    <t>Mitsubishi Pajero III, IV All eng. 90-95, 00-</t>
  </si>
  <si>
    <t>1277 = WP9352</t>
  </si>
  <si>
    <t>9352   (1277)</t>
  </si>
  <si>
    <t>WP9352</t>
  </si>
  <si>
    <t>Hyundai I30, Kia Ceed - wersje z klimatyzacj?</t>
  </si>
  <si>
    <t>1278A = WP9329</t>
  </si>
  <si>
    <t>9329   (1278A)</t>
  </si>
  <si>
    <t>WP9329</t>
  </si>
  <si>
    <t>Audi A4 (8K), A5 (8T), Q5 (8R) 08-</t>
  </si>
  <si>
    <t>1281 = WP2032</t>
  </si>
  <si>
    <t>2032   (1281)</t>
  </si>
  <si>
    <t>221.86</t>
  </si>
  <si>
    <t>WP2032</t>
  </si>
  <si>
    <t xml:space="preserve">SUBARU FORESTER II, IMPREZA III  08- </t>
  </si>
  <si>
    <t>1288 = WP9330</t>
  </si>
  <si>
    <t>9330   (1288)</t>
  </si>
  <si>
    <t>WP9330</t>
  </si>
  <si>
    <t>Mercedes Sprinter II, Volkswagen Crafter (ОЕ 906.830.02.18|)</t>
  </si>
  <si>
    <t>1288A = WP9331</t>
  </si>
  <si>
    <t>9331   (1288A)</t>
  </si>
  <si>
    <t>220.40</t>
  </si>
  <si>
    <t>WP9331</t>
  </si>
  <si>
    <t>1289-2x = WP9354</t>
  </si>
  <si>
    <t>9354   (1289-2x)</t>
  </si>
  <si>
    <t>WP9354</t>
  </si>
  <si>
    <t>Hyundai Tucson, Kia Sorento 8/06--&gt;, Sportage II - bez klimatyzacji</t>
  </si>
  <si>
    <t>129 = WA6621</t>
  </si>
  <si>
    <t>6621   (129)</t>
  </si>
  <si>
    <t>WA6621</t>
  </si>
  <si>
    <t>OPEL OMEGA B  all engines  94-</t>
  </si>
  <si>
    <t>129/6 = WA9495</t>
  </si>
  <si>
    <t>9495   (129/6)</t>
  </si>
  <si>
    <t>203.90</t>
  </si>
  <si>
    <t>WA9495</t>
  </si>
  <si>
    <t>RANGE ROVER/DISCO 04-&gt;</t>
  </si>
  <si>
    <t>129/7 = WA9612</t>
  </si>
  <si>
    <t>9612   (129/7)</t>
  </si>
  <si>
    <t>130.00</t>
  </si>
  <si>
    <t>WA9612</t>
  </si>
  <si>
    <t>Landrover Freelander II 2.2TD4, 3.2 1/07-&gt;</t>
  </si>
  <si>
    <t>130/1 = WA6727</t>
  </si>
  <si>
    <t>6727   (130/1)</t>
  </si>
  <si>
    <t>104.88</t>
  </si>
  <si>
    <t>WA6727</t>
  </si>
  <si>
    <t>PEUGEOT 307  1.4i, 1.6i, 2.0i 08/00-</t>
  </si>
  <si>
    <t>130/7 = WA6779</t>
  </si>
  <si>
    <t>6779   (130/7)</t>
  </si>
  <si>
    <t>WA6779</t>
  </si>
  <si>
    <t>Renault 9 1.1 09/ 81-05/ 87, Super 5 1.0/ 1.1 10/ 8410/ 88/ Citroen C3/ C2/ Berlingo 1.1i/ 1.4i 02-, 7700724629</t>
  </si>
  <si>
    <t>130/8 = WA6784</t>
  </si>
  <si>
    <t>6784   (130/8)</t>
  </si>
  <si>
    <t>WA6784</t>
  </si>
  <si>
    <t>Citroen C3 1.6 16V 02-</t>
  </si>
  <si>
    <t>130/9 = WA9411</t>
  </si>
  <si>
    <t>9411   (130/9)</t>
  </si>
  <si>
    <t>WA9411</t>
  </si>
  <si>
    <t>Citroen C3 1.4HDI 16V, Peugeot 206 1.4HDI 16V 05/02-&gt;</t>
  </si>
  <si>
    <t>1300A = WP2037</t>
  </si>
  <si>
    <t>2037   (1300A)</t>
  </si>
  <si>
    <t>170.89</t>
  </si>
  <si>
    <t>WP2037</t>
  </si>
  <si>
    <t>1303 = WP2062</t>
  </si>
  <si>
    <t>2062   (1303)</t>
  </si>
  <si>
    <t>138.80</t>
  </si>
  <si>
    <t>WP2062</t>
  </si>
  <si>
    <t>Dodge Caliber, FIAT Freemont, JEEP Compass  07-</t>
  </si>
  <si>
    <t>1304-2x = WP2040</t>
  </si>
  <si>
    <t>2040   (1304-2x)</t>
  </si>
  <si>
    <t>164.84</t>
  </si>
  <si>
    <t>WP2040</t>
  </si>
  <si>
    <t>SSANG YONG Rexton 2.7-3.2/TD/XDI 04/02-&gt;/ Rodius 2.7 XDI 05/05-</t>
  </si>
  <si>
    <t>1305 = WP2042</t>
  </si>
  <si>
    <t>2042   (1305)</t>
  </si>
  <si>
    <t>242.95</t>
  </si>
  <si>
    <t>WP2042</t>
  </si>
  <si>
    <t>CHEVROLET Epica 2.0/2.5/D 06/06-&gt;/ Evanda 2.0 03/05-&gt;.DAEWOO Evanda 2.0 08/02-&gt;</t>
  </si>
  <si>
    <t>131/1 = WA6697</t>
  </si>
  <si>
    <t>6697   (131/1)</t>
  </si>
  <si>
    <t>95.71</t>
  </si>
  <si>
    <t>WA6697</t>
  </si>
  <si>
    <t>RENAULT Clio II, Kangoo 1.4i, Megane 1.4 Symbol II 1.4i  07/96-</t>
  </si>
  <si>
    <t>1313 = WP2086</t>
  </si>
  <si>
    <t>2086   (1313)</t>
  </si>
  <si>
    <t>WP2086</t>
  </si>
  <si>
    <t>Seat Ibiza V| Skoda Fabia II| VW Polo V , 07-</t>
  </si>
  <si>
    <t>1313A = WP2087</t>
  </si>
  <si>
    <t>2087   (1313A)</t>
  </si>
  <si>
    <t>164.66</t>
  </si>
  <si>
    <t>WP2087</t>
  </si>
  <si>
    <t>Seat Ibiza V| Skoda Fabia II| VW Polo V, 07- /вугільний/ /CCF0465C/</t>
  </si>
  <si>
    <t>1314 = WP2046</t>
  </si>
  <si>
    <t>2046   (1314)</t>
  </si>
  <si>
    <t>184.64</t>
  </si>
  <si>
    <t>WP2046</t>
  </si>
  <si>
    <t>1315 = WP2056</t>
  </si>
  <si>
    <t>2056   (1315)</t>
  </si>
  <si>
    <t>252.67</t>
  </si>
  <si>
    <t>WP2056</t>
  </si>
  <si>
    <t>Hyundai Santa Fe  10-</t>
  </si>
  <si>
    <t>1316 = WP2108</t>
  </si>
  <si>
    <t>2108   (1316)</t>
  </si>
  <si>
    <t>136.60</t>
  </si>
  <si>
    <t>WP2108</t>
  </si>
  <si>
    <t>Mazda 6 (GJ), CX-5  Mazda3 седан III (BM) 2011-\n</t>
  </si>
  <si>
    <t>1318A = WP2075</t>
  </si>
  <si>
    <t>2075   (1318A)</t>
  </si>
  <si>
    <t>WP2075</t>
  </si>
  <si>
    <t>Audi A6 III| A7| A8 III,  09-</t>
  </si>
  <si>
    <t>1321 = WP2110</t>
  </si>
  <si>
    <t>2110   (1321)</t>
  </si>
  <si>
    <t>59.96</t>
  </si>
  <si>
    <t>WP2110</t>
  </si>
  <si>
    <t>Dacia Logan II, Sandero II| Renault Captur, Clio IV, Logan II, Sandero II</t>
  </si>
  <si>
    <t>1321A = WP2111</t>
  </si>
  <si>
    <t>2111   (1321A)</t>
  </si>
  <si>
    <t>145.95</t>
  </si>
  <si>
    <t>WP2111</t>
  </si>
  <si>
    <t>Dacia Logan II, Sandero II, Renault Captur, Clio IV, Logan II, Sandero II</t>
  </si>
  <si>
    <t>1329 = WP2102</t>
  </si>
  <si>
    <t>2102   (1329)</t>
  </si>
  <si>
    <t>68.76</t>
  </si>
  <si>
    <t>WP2102</t>
  </si>
  <si>
    <t>Hyundai Solaris| Kia Rio III /E3972LI/</t>
  </si>
  <si>
    <t>133/2 = WA6728</t>
  </si>
  <si>
    <t>6728   (133/2)</t>
  </si>
  <si>
    <t>85.63</t>
  </si>
  <si>
    <t>WA6728</t>
  </si>
  <si>
    <t>RENAULT CLIO, KANGOO, TWINGO 1.2i 16V  01-</t>
  </si>
  <si>
    <t>133/5 = WA9770</t>
  </si>
  <si>
    <t>9770   (133/5)</t>
  </si>
  <si>
    <t>121.57</t>
  </si>
  <si>
    <t>WA9770</t>
  </si>
  <si>
    <t>Dacia Dokker, Duster II, Lodgy, Logan II, Sandero II| Renault Captur, Clio IV,</t>
  </si>
  <si>
    <t>1330 = WP2100</t>
  </si>
  <si>
    <t>2100   (1330)</t>
  </si>
  <si>
    <t>78.84</t>
  </si>
  <si>
    <t>WP2100</t>
  </si>
  <si>
    <t>Dacia Dokker, Lodgy| Renault Dokker, Lodgy, Zoe</t>
  </si>
  <si>
    <t>1332 = WP2064</t>
  </si>
  <si>
    <t>2064   (1332)</t>
  </si>
  <si>
    <t>129.09</t>
  </si>
  <si>
    <t>WP2064</t>
  </si>
  <si>
    <t>Hyundai ix35| Kia Sportage III 1.7-2.0 CRDI 10-</t>
  </si>
  <si>
    <t>134/10 = WA9754</t>
  </si>
  <si>
    <t>9754   (134/10)</t>
  </si>
  <si>
    <t>108.18</t>
  </si>
  <si>
    <t>WA9754</t>
  </si>
  <si>
    <t>Dacia Logan  1.4-1.6 04- / LX2061/1 /</t>
  </si>
  <si>
    <t>134/2 = WA6684</t>
  </si>
  <si>
    <t>6684   (134/2)</t>
  </si>
  <si>
    <t>WA6684</t>
  </si>
  <si>
    <t>RENAULT 1.9 diesel engines 99- /312 X 102 X 42.3/</t>
  </si>
  <si>
    <t>134/3 = WA6703</t>
  </si>
  <si>
    <t>6703   (134/3)</t>
  </si>
  <si>
    <t>103.78</t>
  </si>
  <si>
    <t>WA6703</t>
  </si>
  <si>
    <t>RENAULT CLIO, KANGOO, MEGANE 1.9D 02/00-</t>
  </si>
  <si>
    <t>134/4 = WA6761</t>
  </si>
  <si>
    <t>6761   (134/4)</t>
  </si>
  <si>
    <t>79.39</t>
  </si>
  <si>
    <t>WA6761</t>
  </si>
  <si>
    <t>Renault Clio/ Kangoo 1.5 mot. K9K700/ 6/ 01-</t>
  </si>
  <si>
    <t>134/7 = WA9469</t>
  </si>
  <si>
    <t>9469   (134/7)</t>
  </si>
  <si>
    <t>177.86</t>
  </si>
  <si>
    <t>WA9469</t>
  </si>
  <si>
    <t>RENAULT Modus 1.4-1.6L 01/ 03-&gt; 8200216005/ 16546BN701</t>
  </si>
  <si>
    <t>134/8 = WA9496</t>
  </si>
  <si>
    <t>9496   (134/8)</t>
  </si>
  <si>
    <t>WA9496</t>
  </si>
  <si>
    <t>Renault Clio III 1.2i 16V, Modus 1.2i 16V, Twingo 1.2i 16V 7/04--&gt;</t>
  </si>
  <si>
    <t>134/9 = WA9690</t>
  </si>
  <si>
    <t>9690   (134/9)</t>
  </si>
  <si>
    <t>316.11</t>
  </si>
  <si>
    <t>WA9690</t>
  </si>
  <si>
    <t>135/4 = WA9593</t>
  </si>
  <si>
    <t>9593   (135/4)</t>
  </si>
  <si>
    <t>169.97</t>
  </si>
  <si>
    <t>WA9593</t>
  </si>
  <si>
    <t>Renault Laguna III 1.5DCI, 2.0DCI (wersja z prefiltrem)</t>
  </si>
  <si>
    <t>135/6 = WA9706</t>
  </si>
  <si>
    <t>9706   (135/6)</t>
  </si>
  <si>
    <t>345.26</t>
  </si>
  <si>
    <t>WA9706</t>
  </si>
  <si>
    <t>Renault Laguna III 3.0DCI, 3.5 V6</t>
  </si>
  <si>
    <t>1350 = WP2096</t>
  </si>
  <si>
    <t>2096   (1350)</t>
  </si>
  <si>
    <t>142.10</t>
  </si>
  <si>
    <t>WP2096</t>
  </si>
  <si>
    <t>Ford C-Max II/Grand C-Max, Focus III, Kuga II, Tourneo Connect II, Transit Connect II| Volvo V40 II</t>
  </si>
  <si>
    <t>137 = WA6318</t>
  </si>
  <si>
    <t>6318   (137)</t>
  </si>
  <si>
    <t>101.40</t>
  </si>
  <si>
    <t>WA6318</t>
  </si>
  <si>
    <t>RENAULT TRAFIC 2.1D  80-94</t>
  </si>
  <si>
    <t>137/1 = WA6562</t>
  </si>
  <si>
    <t>6562   (137/1)</t>
  </si>
  <si>
    <t>152.00</t>
  </si>
  <si>
    <t>WA6562</t>
  </si>
  <si>
    <t>RENAULT MASTER 2.5TD, 2.8DTI 98-, 2.2DCI 00-</t>
  </si>
  <si>
    <t>137/2 = 93364E</t>
  </si>
  <si>
    <t>93364E   (137/2)</t>
  </si>
  <si>
    <t>253.22</t>
  </si>
  <si>
    <t>93364E</t>
  </si>
  <si>
    <t>Renault Mascott – wszystkie modele (numer cz??ci oryginalnej 50 01 847 123)</t>
  </si>
  <si>
    <t>137/3 = WA9412</t>
  </si>
  <si>
    <t>9412   (137/3)</t>
  </si>
  <si>
    <t>129.63</t>
  </si>
  <si>
    <t>WA9412</t>
  </si>
  <si>
    <t>OPEL Vivaro 2, 5DTI/ CDTI / RENAULT Trafic II 2.0,  2,5 CDI 05/ 03-</t>
  </si>
  <si>
    <t>137/4 = WA9413</t>
  </si>
  <si>
    <t>9413   (137/4)</t>
  </si>
  <si>
    <t>165.57</t>
  </si>
  <si>
    <t>WA9413</t>
  </si>
  <si>
    <t>Renault Master 2.2DCI, 2.5DCI 11/03--&gt;</t>
  </si>
  <si>
    <t>137/5 = WA9519</t>
  </si>
  <si>
    <t>9519   (137/5)</t>
  </si>
  <si>
    <t>262.75</t>
  </si>
  <si>
    <t>WA9519</t>
  </si>
  <si>
    <t>Opel Movano II, Renault Master III 3.0dCi  04-&gt;</t>
  </si>
  <si>
    <t>137/6 = WA9670</t>
  </si>
  <si>
    <t>9670   (137/6)</t>
  </si>
  <si>
    <t>275.96</t>
  </si>
  <si>
    <t>WA9670</t>
  </si>
  <si>
    <t>Opel Movano III, Renault Master IV</t>
  </si>
  <si>
    <t>137/8 = 93370E</t>
  </si>
  <si>
    <t>93370E   (137/8)</t>
  </si>
  <si>
    <t>371.30</t>
  </si>
  <si>
    <t>93370E</t>
  </si>
  <si>
    <t>Renault Mascott 120DXi, 160DXi</t>
  </si>
  <si>
    <t>139/1 = WA6704</t>
  </si>
  <si>
    <t>6704   (139/1)</t>
  </si>
  <si>
    <t>132.38</t>
  </si>
  <si>
    <t>WA6704</t>
  </si>
  <si>
    <t>SEAT CORDOBA, IBIZA 1.6i, 1.9SDI/TDI 06/99-</t>
  </si>
  <si>
    <t>139/2 = WA6781</t>
  </si>
  <si>
    <t>6781   (139/2)</t>
  </si>
  <si>
    <t>119.00</t>
  </si>
  <si>
    <t>WA6781</t>
  </si>
  <si>
    <t>A3/G5/TOURAN 1.9-2.0TDI (LX 1211)</t>
  </si>
  <si>
    <t>139/3 = WA6787</t>
  </si>
  <si>
    <t>6787   (139/3)</t>
  </si>
  <si>
    <t>WA6787</t>
  </si>
  <si>
    <t>A3/ G5/ TOURAN/ OCTAVIA 1.9-2.0TDI</t>
  </si>
  <si>
    <t>139/5 = WA9759</t>
  </si>
  <si>
    <t>9759   (139/5)</t>
  </si>
  <si>
    <t>197.66</t>
  </si>
  <si>
    <t>WA9759</t>
  </si>
  <si>
    <t>Audi A3 III| Seat Leon III| Skoda Octavia III| Volkswagen Golf VII 1,6-2,0TDI,  12-</t>
  </si>
  <si>
    <t>140 = WA6321</t>
  </si>
  <si>
    <t>6321   (140)</t>
  </si>
  <si>
    <t>96.44</t>
  </si>
  <si>
    <t>WA6321</t>
  </si>
  <si>
    <t>SEAT TOLEDO 1.9D/TD 93-99, VW CADDY 1.9D 97-, POLO 1.6 95-01</t>
  </si>
  <si>
    <t>142/1 = WA6664</t>
  </si>
  <si>
    <t>6664   (142/1)</t>
  </si>
  <si>
    <t>WA6664</t>
  </si>
  <si>
    <t>TOYOTA YARIS 1.0i 04/99- /248.5 X 119.5 X 52/</t>
  </si>
  <si>
    <t>142/10 = WA9576</t>
  </si>
  <si>
    <t>9576   (142/10)</t>
  </si>
  <si>
    <t>203.53</t>
  </si>
  <si>
    <t>WA9576</t>
  </si>
  <si>
    <t>142/2 = WA6665</t>
  </si>
  <si>
    <t>6665   (142/2)</t>
  </si>
  <si>
    <t>116.80</t>
  </si>
  <si>
    <t>WA6665</t>
  </si>
  <si>
    <t>TOYOTA YARIS 1.3i 11/99- /248.5 X 119.5 X 52/</t>
  </si>
  <si>
    <t>142/3 = WA6785</t>
  </si>
  <si>
    <t>6785   (142/3)</t>
  </si>
  <si>
    <t>127.98</t>
  </si>
  <si>
    <t>WA6785</t>
  </si>
  <si>
    <t>TOYOTA COROLLA бензин  02-</t>
  </si>
  <si>
    <t>143 = WA6324</t>
  </si>
  <si>
    <t>6324   (143)</t>
  </si>
  <si>
    <t>WA6324</t>
  </si>
  <si>
    <t>TOYOTA CAMRY 2.2i, 3.0i 91-01, LEXUS 300 RX 00-</t>
  </si>
  <si>
    <t>143/2 = WA9625</t>
  </si>
  <si>
    <t>9625   (143/2)</t>
  </si>
  <si>
    <t>163.01</t>
  </si>
  <si>
    <t>WA9625</t>
  </si>
  <si>
    <t>Toyota Landcruiser 3.0D-4D (1KD-FTV), 02-</t>
  </si>
  <si>
    <t>143/3 = WA9626</t>
  </si>
  <si>
    <t>9626   (143/3)</t>
  </si>
  <si>
    <t>189.41</t>
  </si>
  <si>
    <t>WA9626</t>
  </si>
  <si>
    <t>Toyota Landcruiser 4.7 V8</t>
  </si>
  <si>
    <t>144/1 = WA9599</t>
  </si>
  <si>
    <t>9599   (144/1)</t>
  </si>
  <si>
    <t>167.77</t>
  </si>
  <si>
    <t>WA9599</t>
  </si>
  <si>
    <t>Lexus RX300, RX350| Toyota  (ОЕ 1780120040)</t>
  </si>
  <si>
    <t>144/2 = WA9633</t>
  </si>
  <si>
    <t>9633   (144/2)</t>
  </si>
  <si>
    <t>156.40</t>
  </si>
  <si>
    <t>WA9633</t>
  </si>
  <si>
    <t>Toyota Camry 2.4i 1/06-&gt;</t>
  </si>
  <si>
    <t>146 = WA6326</t>
  </si>
  <si>
    <t>6326   (146)</t>
  </si>
  <si>
    <t>WA6326</t>
  </si>
  <si>
    <t>TOYOTA COROLLA 1.8D 83-93, 2.0D 92-00</t>
  </si>
  <si>
    <t>149 = WA6332</t>
  </si>
  <si>
    <t>6332   (149)</t>
  </si>
  <si>
    <t>131.29</t>
  </si>
  <si>
    <t>WA6332</t>
  </si>
  <si>
    <t>VOLVO 850 2.0i - 2.5i 91-96, S70, V70 бензин 97-00</t>
  </si>
  <si>
    <t>149/1 = WA6333</t>
  </si>
  <si>
    <t>6333   (149/1)</t>
  </si>
  <si>
    <t>WA6333</t>
  </si>
  <si>
    <t>VW GOLF, AUDI A3, SKODA OCTAVIA 1.8, 1.8T, 1.9TDI/SDI 96- (h=49mm)</t>
  </si>
  <si>
    <t>149/2-2x = WA6692</t>
  </si>
  <si>
    <t>6692   (149/2-2x)</t>
  </si>
  <si>
    <t>WA6692</t>
  </si>
  <si>
    <t>VW LUPO, POLO 1.0i 98-,1.4i 99- ЦЕНА ЗА КМП (2ШТ)</t>
  </si>
  <si>
    <t>149/3 = WA6688</t>
  </si>
  <si>
    <t>6688   (149/3)</t>
  </si>
  <si>
    <t>100.48</t>
  </si>
  <si>
    <t>WA6688</t>
  </si>
  <si>
    <t>SKODA FABIA 1.4i 16V 99-, VW GOLF,BORA 1.6I 16V 00-</t>
  </si>
  <si>
    <t>149/4 = WA6762</t>
  </si>
  <si>
    <t>6762   (149/4)</t>
  </si>
  <si>
    <t>94.62</t>
  </si>
  <si>
    <t>WA6762</t>
  </si>
  <si>
    <t>VAG Polo/ Fabia 1.2 (AZQ/ BME) 10/ 01-</t>
  </si>
  <si>
    <t>149/5 = WA6693</t>
  </si>
  <si>
    <t>6693   (149/5)</t>
  </si>
  <si>
    <t>WA6693</t>
  </si>
  <si>
    <t>A3 98-/ Toledo 99-/ Octavia 97-/ Bora 99-/ Golf 4 99- (h=57mm)</t>
  </si>
  <si>
    <t>151 = WA6335</t>
  </si>
  <si>
    <t>6335   (151)</t>
  </si>
  <si>
    <t>120.83</t>
  </si>
  <si>
    <t>WA6335</t>
  </si>
  <si>
    <t>FORD FIESTA 1.25, 1.3, 1.4i, 1.8D 95-, MAZDA 121 1.3i, 1.8D 96- /аналог LX687/</t>
  </si>
  <si>
    <t>151/1 = WA6336</t>
  </si>
  <si>
    <t>6336   (151/1)</t>
  </si>
  <si>
    <t>WA6336</t>
  </si>
  <si>
    <t>FORD FIESTA 1.8D 94-95 (аналог C2056)</t>
  </si>
  <si>
    <t>151/5 = WA9606</t>
  </si>
  <si>
    <t>9606   (151/5)</t>
  </si>
  <si>
    <t>149.25</t>
  </si>
  <si>
    <t>WA9606</t>
  </si>
  <si>
    <t>Ford Fiesta VI 10/08-&gt;</t>
  </si>
  <si>
    <t>152 = WA6337</t>
  </si>
  <si>
    <t>6337   (152)</t>
  </si>
  <si>
    <t>75.55</t>
  </si>
  <si>
    <t>WA6337</t>
  </si>
  <si>
    <t>OPEL VECTRA 1.6-2.5 95-</t>
  </si>
  <si>
    <t>152/1 = WA6783</t>
  </si>
  <si>
    <t>6783   (152/1)</t>
  </si>
  <si>
    <t>173.46</t>
  </si>
  <si>
    <t>WA6783</t>
  </si>
  <si>
    <t>OPEL Vectra C/ Signum 1, 6-1, 8L(Z16XE/ Z18XE) 03/ 02-&gt; 0835630</t>
  </si>
  <si>
    <t>152/2 = WA6782</t>
  </si>
  <si>
    <t>6782   (152/2)</t>
  </si>
  <si>
    <t>WA6782</t>
  </si>
  <si>
    <t>OPEL Signum, Vectra C 1.9-3.2і  02-,  FIAT Croma II 1.9D, 2.2i,  05-</t>
  </si>
  <si>
    <t>152/3 = WA9605</t>
  </si>
  <si>
    <t>9605   (152/3)</t>
  </si>
  <si>
    <t>233.60</t>
  </si>
  <si>
    <t>WA9605</t>
  </si>
  <si>
    <t>Opel Insignia 1.4-2.8 08-, SAAB 9-5 2.0-2.8, 10-</t>
  </si>
  <si>
    <t>154 = WA6339</t>
  </si>
  <si>
    <t>6339   (154)</t>
  </si>
  <si>
    <t>WA6339</t>
  </si>
  <si>
    <t>NISSAN ALMERA 1.4, 1.6  95-00 /210 Х 168 Х 29/</t>
  </si>
  <si>
    <t>154/1 = WA9464</t>
  </si>
  <si>
    <t>9464   (154/1)</t>
  </si>
  <si>
    <t>89.85</t>
  </si>
  <si>
    <t>WA9464</t>
  </si>
  <si>
    <t>NISSAN PRIMERA,SUNNY 2.0D 90-95, PRIMERA 1.8 16V, 2.0 16V 99-</t>
  </si>
  <si>
    <t>155 = WA6340</t>
  </si>
  <si>
    <t>6340   (155)</t>
  </si>
  <si>
    <t>71.14</t>
  </si>
  <si>
    <t>WA6340</t>
  </si>
  <si>
    <t>FIAT PALIO 1.0i, 1.5i, 1.6i  96-</t>
  </si>
  <si>
    <t>157 = WA6342</t>
  </si>
  <si>
    <t>6342   (157)</t>
  </si>
  <si>
    <t>WA6342</t>
  </si>
  <si>
    <t>MB SPRINTER all engines 95-00 /аналог LX511/1/</t>
  </si>
  <si>
    <t>157/1 = WA6343</t>
  </si>
  <si>
    <t>6343   (157/1)</t>
  </si>
  <si>
    <t>WA6343</t>
  </si>
  <si>
    <t>MB VITO 99-, SPRINTER CDI - eng. 00-/для запилених умов/</t>
  </si>
  <si>
    <t>157/2 = WA6344</t>
  </si>
  <si>
    <t>6344   (157/2)</t>
  </si>
  <si>
    <t>125.60</t>
  </si>
  <si>
    <t>WA6344</t>
  </si>
  <si>
    <t>157/3 = WA9468</t>
  </si>
  <si>
    <t>9468   (157/3)</t>
  </si>
  <si>
    <t>238.73</t>
  </si>
  <si>
    <t>WA9468</t>
  </si>
  <si>
    <t>VW T4 2.0, 2.5, 2.8 VR6 бен, 1.9TD, 2.4D, 2.5TDI 96- (высокоемкий)</t>
  </si>
  <si>
    <t>157/4 = WA9448</t>
  </si>
  <si>
    <t>9448   (157/4)</t>
  </si>
  <si>
    <t>126.34</t>
  </si>
  <si>
    <t>WA9448</t>
  </si>
  <si>
    <t>157/5 = WA9449</t>
  </si>
  <si>
    <t>9449   (157/5)</t>
  </si>
  <si>
    <t>215.26</t>
  </si>
  <si>
    <t>WA9449</t>
  </si>
  <si>
    <t>157/6 = WA9520</t>
  </si>
  <si>
    <t>9520   (157/6)</t>
  </si>
  <si>
    <t>WA9520</t>
  </si>
  <si>
    <t>SPRINTER/CRAFTER 06-&gt;(LX1845)</t>
  </si>
  <si>
    <t>158 = WA6345</t>
  </si>
  <si>
    <t>6345   (158)</t>
  </si>
  <si>
    <t>171.62</t>
  </si>
  <si>
    <t>WA6345</t>
  </si>
  <si>
    <t>158/1 = WA9420</t>
  </si>
  <si>
    <t>9420   (158/1)</t>
  </si>
  <si>
    <t>160.62</t>
  </si>
  <si>
    <t>WA9420</t>
  </si>
  <si>
    <t>MB VITO/VIANO  -&gt;03</t>
  </si>
  <si>
    <t>159 = WA6346</t>
  </si>
  <si>
    <t>6346   (159)</t>
  </si>
  <si>
    <t>WA6346</t>
  </si>
  <si>
    <t>165/4 = WA9417</t>
  </si>
  <si>
    <t>9417   (165/4)</t>
  </si>
  <si>
    <t>225.72</t>
  </si>
  <si>
    <t>WA9417</t>
  </si>
  <si>
    <t>Ford Focus II/ Volvo S80 II 2, 5T 07.06-</t>
  </si>
  <si>
    <t>165/5 = WA9505</t>
  </si>
  <si>
    <t>9505   (165/5)</t>
  </si>
  <si>
    <t>WA9505</t>
  </si>
  <si>
    <t>VOLVO S60/XC90 2.4D5 (LX1289/1)</t>
  </si>
  <si>
    <t>166/1 = WA9628</t>
  </si>
  <si>
    <t>9628   (166/1)</t>
  </si>
  <si>
    <t>165.76</t>
  </si>
  <si>
    <t>WA9628</t>
  </si>
  <si>
    <t>Toyota Landcruiser 4.0i (GR) 1/03-&gt;</t>
  </si>
  <si>
    <t>167 = WA6354</t>
  </si>
  <si>
    <t>6354   (167)</t>
  </si>
  <si>
    <t>121.75</t>
  </si>
  <si>
    <t>WA6354</t>
  </si>
  <si>
    <t>TOYOTA COROLLA 1.6 85-87, 1.3i, 1.4i 92-00</t>
  </si>
  <si>
    <t>168 = WA6355</t>
  </si>
  <si>
    <t>6355   (168)</t>
  </si>
  <si>
    <t>100.30</t>
  </si>
  <si>
    <t>WA6355</t>
  </si>
  <si>
    <t>MAZDA 323 1.3i, 1.5i, 1.8i 94-</t>
  </si>
  <si>
    <t>172/1 = WA6556</t>
  </si>
  <si>
    <t>6556   (172/1)</t>
  </si>
  <si>
    <t>123.59</t>
  </si>
  <si>
    <t>WA6556</t>
  </si>
  <si>
    <t>MITSUBISHI PAJERO 2.4i 91-00, 3.0I 90-, SPACE GEAR 2.0i, 2.4i 95-</t>
  </si>
  <si>
    <t>172/3 = WA9481</t>
  </si>
  <si>
    <t>9481   (172/3)</t>
  </si>
  <si>
    <t>WA9481</t>
  </si>
  <si>
    <t>PAJERO III 3,2 DI-D 01-&gt;  /LX2885/</t>
  </si>
  <si>
    <t>173/1 = WA6592</t>
  </si>
  <si>
    <t>6592   (173/1)</t>
  </si>
  <si>
    <t>139.72</t>
  </si>
  <si>
    <t>WA6592</t>
  </si>
  <si>
    <t>SUZUKI VITARA 2.0i, 2.0TD 94-98, GRAND VITARA all eng. 98-</t>
  </si>
  <si>
    <t>173/2 = WA9577</t>
  </si>
  <si>
    <t>9577   (173/2)</t>
  </si>
  <si>
    <t>146.69</t>
  </si>
  <si>
    <t>WA9577</t>
  </si>
  <si>
    <t>Suzuki Grand Vitara 1.6i,1.9DDIS, 2.0i 10/05-  (ОЕ 1378065J00)</t>
  </si>
  <si>
    <t>173/3 = WA9648</t>
  </si>
  <si>
    <t>9648   (173/3)</t>
  </si>
  <si>
    <t>WA9648</t>
  </si>
  <si>
    <t>Suzuki Grand Vitara 2.4 09-</t>
  </si>
  <si>
    <t>175 = WA6362</t>
  </si>
  <si>
    <t>6362   (175)</t>
  </si>
  <si>
    <t>WA6362</t>
  </si>
  <si>
    <t>176/5 = WA9549</t>
  </si>
  <si>
    <t>9549   (176/5)</t>
  </si>
  <si>
    <t>WA9549</t>
  </si>
  <si>
    <t>Fiat Sedici 1.6i 16V 06-, Suzuki SX-4 1.5i, 1.6VVT 06- (ОЕ 1378079J00 )</t>
  </si>
  <si>
    <t>177/1 = WA6593</t>
  </si>
  <si>
    <t>6593   (177/1)</t>
  </si>
  <si>
    <t>111.11</t>
  </si>
  <si>
    <t>WA6593</t>
  </si>
  <si>
    <t>HYUNDAI LANTRA 1.6i 16V, 1.8i 16V, 2.0i 16V  95-00</t>
  </si>
  <si>
    <t>177/2 = WA6594</t>
  </si>
  <si>
    <t>6594   (177/2)</t>
  </si>
  <si>
    <t>WA6594</t>
  </si>
  <si>
    <t>HYUNDAI ATOS 1.0i 98-</t>
  </si>
  <si>
    <t>177/3 = WA6731</t>
  </si>
  <si>
    <t>6731   (177/3)</t>
  </si>
  <si>
    <t>WA6731</t>
  </si>
  <si>
    <t>SANTA FE 2,0 16V-2,7 V6 (LX1041)</t>
  </si>
  <si>
    <t>177/7 = WA9581</t>
  </si>
  <si>
    <t>9581   (177/7)</t>
  </si>
  <si>
    <t>106.35</t>
  </si>
  <si>
    <t>WA9581</t>
  </si>
  <si>
    <t>Hyundai i30| Kia Ceed 1.6CRDI,  (ОЕ 281132H000) /LX2752/</t>
  </si>
  <si>
    <t>179 = WA6366</t>
  </si>
  <si>
    <t>6366   (179)</t>
  </si>
  <si>
    <t>WA6366</t>
  </si>
  <si>
    <t>179/1 = WA6536</t>
  </si>
  <si>
    <t>6536   (179/1)</t>
  </si>
  <si>
    <t>178.04</t>
  </si>
  <si>
    <t>WA6536</t>
  </si>
  <si>
    <t>AUDI A4,A6 VW PASSAT 2,5TDI 97-</t>
  </si>
  <si>
    <t>179/2 = WA6726</t>
  </si>
  <si>
    <t>6726   (179/2)</t>
  </si>
  <si>
    <t>WA6726</t>
  </si>
  <si>
    <t>AUDI A4 (all engines) 00-</t>
  </si>
  <si>
    <t>180 = WA6367</t>
  </si>
  <si>
    <t>6367   (180)</t>
  </si>
  <si>
    <t>WA6367</t>
  </si>
  <si>
    <t>MITSUBISHI CARISMA 1.6,1.8,1.8GDI 95-, SPACE STAR 1.3i 98-</t>
  </si>
  <si>
    <t>182 = WA6369</t>
  </si>
  <si>
    <t>6369   (182)</t>
  </si>
  <si>
    <t>91.13</t>
  </si>
  <si>
    <t>WA6369</t>
  </si>
  <si>
    <t>KIA SEPHIA II, SHUMA 1.5, 1.8 98-, CARENS 1.8I 00-</t>
  </si>
  <si>
    <t>182/10 = WA9643</t>
  </si>
  <si>
    <t>9643   (182/10)</t>
  </si>
  <si>
    <t>211.78</t>
  </si>
  <si>
    <t>WA9643</t>
  </si>
  <si>
    <t>Kia Sorento 2.5CRDI, 3.3i V6 12/06-</t>
  </si>
  <si>
    <t>182/2 = WA6371</t>
  </si>
  <si>
    <t>6371   (182/2)</t>
  </si>
  <si>
    <t>133.85</t>
  </si>
  <si>
    <t>WA6371</t>
  </si>
  <si>
    <t>KIA CLARUS 1.8i 16V,  2.0i 16V  96-</t>
  </si>
  <si>
    <t>182/5 = WA9428</t>
  </si>
  <si>
    <t>9428   (182/5)</t>
  </si>
  <si>
    <t>WA9428</t>
  </si>
  <si>
    <t>SORENTO 2.4-3.5 02-&gt;(LX1955)</t>
  </si>
  <si>
    <t>182/9 = WA9547</t>
  </si>
  <si>
    <t>9547   (182/9)</t>
  </si>
  <si>
    <t>WA9547</t>
  </si>
  <si>
    <t>Hyundai Tucson| Kia Sportage II</t>
  </si>
  <si>
    <t>183/1 = WA6776</t>
  </si>
  <si>
    <t>6776   (183/1)</t>
  </si>
  <si>
    <t>WA6776</t>
  </si>
  <si>
    <t>FABIA/POLO 1,2 02-&gt; (LX1475)</t>
  </si>
  <si>
    <t>183/2 = WA6695</t>
  </si>
  <si>
    <t>6695   (183/2)</t>
  </si>
  <si>
    <t>WA6695</t>
  </si>
  <si>
    <t>Volkswagen Golf IV 1.4i 8/97--&gt;, Lupo 1.4i - wersja z prefiltrem (LX954)</t>
  </si>
  <si>
    <t>183/3 = WA9545</t>
  </si>
  <si>
    <t>9545   (183/3)</t>
  </si>
  <si>
    <t>151.45</t>
  </si>
  <si>
    <t>WA9545</t>
  </si>
  <si>
    <t>Skoda Fabia II, Roomster 1.4i (86HP), 1.6i (105HP)</t>
  </si>
  <si>
    <t>184 = WA6374</t>
  </si>
  <si>
    <t>6374   (184)</t>
  </si>
  <si>
    <t>WA6374</t>
  </si>
  <si>
    <t>TOYOTA CARINA 1.6i-2.0i  94-97, AVENSIS 1.6i-2.0i  97-</t>
  </si>
  <si>
    <t>185 = WA6375</t>
  </si>
  <si>
    <t>6375   (185)</t>
  </si>
  <si>
    <t>WA6375</t>
  </si>
  <si>
    <t>RENAULT KANGOO 1.9D 98-, CLIO 1.9D 00-</t>
  </si>
  <si>
    <t>185/1 = WA6595</t>
  </si>
  <si>
    <t>6595   (185/1)</t>
  </si>
  <si>
    <t>146.50</t>
  </si>
  <si>
    <t>WA6595</t>
  </si>
  <si>
    <t>RENAULT LAGUNA 1.6i, 1.8i 97-, MEGANE 1.4i, 1.6i 99-</t>
  </si>
  <si>
    <t>185/2 = WA9457</t>
  </si>
  <si>
    <t>9457   (185/2)</t>
  </si>
  <si>
    <t>123.40</t>
  </si>
  <si>
    <t>WA9457</t>
  </si>
  <si>
    <t>Renault  Megane II, Scenic II 1.5-2.0DCI  02-</t>
  </si>
  <si>
    <t>185/4 = WA9569</t>
  </si>
  <si>
    <t>9569   (185/4)</t>
  </si>
  <si>
    <t>WA9569</t>
  </si>
  <si>
    <t>Renault Kangoo II 1.5dCI 02/08- (ОЕ 8200788425)  /LX2631/</t>
  </si>
  <si>
    <t>185/5 = WA9563</t>
  </si>
  <si>
    <t>9563   (185/5)</t>
  </si>
  <si>
    <t>WA9563</t>
  </si>
  <si>
    <t>Nissan Quashqai 1.6, 2.0, 2.0DCI, X-Trail II 2.0i, 2.0DCI| Renault Koleos (ОЕ 16546JD20A, 16546JD20B)</t>
  </si>
  <si>
    <t>185/6 = WA9655</t>
  </si>
  <si>
    <t>9655   (185/6)</t>
  </si>
  <si>
    <t>180.79</t>
  </si>
  <si>
    <t>WA9655</t>
  </si>
  <si>
    <t>Renault Fluence, Megane III, Scenic IV1.6i, 1.5-1.9 dCi  08 -</t>
  </si>
  <si>
    <t>186 = WA6673</t>
  </si>
  <si>
    <t>6673   (186)</t>
  </si>
  <si>
    <t>WA6673</t>
  </si>
  <si>
    <t>VW SHARAN 1.8T, 1.9TDI, 2.8i 04/00-</t>
  </si>
  <si>
    <t>186/1 = WA9521</t>
  </si>
  <si>
    <t>9521   (186/1)</t>
  </si>
  <si>
    <t>176.57</t>
  </si>
  <si>
    <t>WA9521</t>
  </si>
  <si>
    <t>MONDEO IV/S-MAX 1.8-2.0(LX1885)</t>
  </si>
  <si>
    <t>189/1 = WA6702</t>
  </si>
  <si>
    <t>6702   (189/1)</t>
  </si>
  <si>
    <t>WA6702</t>
  </si>
  <si>
    <t>SKODA FABIA 1.9TDI/SDI 00-, VW POLO, SEAT 1.4TDI, 1.9SDI 01-</t>
  </si>
  <si>
    <t>190/4 = WA9551</t>
  </si>
  <si>
    <t>9551   (190/4)</t>
  </si>
  <si>
    <t>77.93</t>
  </si>
  <si>
    <t>WA9551</t>
  </si>
  <si>
    <t>Suzuki Swift III 2/05</t>
  </si>
  <si>
    <t>190/9 = WA9730</t>
  </si>
  <si>
    <t>9730   (190/9)</t>
  </si>
  <si>
    <t>114.60</t>
  </si>
  <si>
    <t>WA9730</t>
  </si>
  <si>
    <t>Suzuki Swift III 1.3i, 1.5i, 1.6i  05-</t>
  </si>
  <si>
    <t>192 = WA6706</t>
  </si>
  <si>
    <t>6706   (192)</t>
  </si>
  <si>
    <t>WA6706</t>
  </si>
  <si>
    <t>Ford Fiesta V 1.4i 16V, 1.6i 16V 3/02-&gt;, Mini Cooper 1.6i</t>
  </si>
  <si>
    <t>194/1 = WA9616</t>
  </si>
  <si>
    <t>9616   (194/1)</t>
  </si>
  <si>
    <t>196.01</t>
  </si>
  <si>
    <t>WA9616</t>
  </si>
  <si>
    <t>Ssangyong Rexton 2.7Xdi -2.9TD, 02-</t>
  </si>
  <si>
    <t>194/2 = WA9617</t>
  </si>
  <si>
    <t>9617   (194/2)</t>
  </si>
  <si>
    <t>158.06</t>
  </si>
  <si>
    <t>WA9617</t>
  </si>
  <si>
    <t>Ssangyong Actyon, Kyron, Rodius 2.0, 2.7 Xdi 05-</t>
  </si>
  <si>
    <t>195 = WA9522</t>
  </si>
  <si>
    <t>9522   (195)</t>
  </si>
  <si>
    <t>WA9522</t>
  </si>
  <si>
    <t>Mitsubishi Colt VI, Smart Forfour</t>
  </si>
  <si>
    <t>196 = WA9663</t>
  </si>
  <si>
    <t>9663   (196)</t>
  </si>
  <si>
    <t>199.86</t>
  </si>
  <si>
    <t>WA9663</t>
  </si>
  <si>
    <t>196/6 = WA9760</t>
  </si>
  <si>
    <t>9760   (196/6)</t>
  </si>
  <si>
    <t>134.95</t>
  </si>
  <si>
    <t>WA9760</t>
  </si>
  <si>
    <t>Peugeot 208, Citroen DS3 1.2, 12-</t>
  </si>
  <si>
    <t>199 = WA6530</t>
  </si>
  <si>
    <t>6530   (199)</t>
  </si>
  <si>
    <t>WA6530</t>
  </si>
  <si>
    <t>FORD EXPLORER 4.0i V6  93-94</t>
  </si>
  <si>
    <t>201 = WA6383</t>
  </si>
  <si>
    <t>6383   (201)</t>
  </si>
  <si>
    <t>63.63</t>
  </si>
  <si>
    <t>WA6383</t>
  </si>
  <si>
    <t>AUDI 80 1.6, 1.8S 87-91, 1.6, 2.0 91-94, VW GOLF III 1.4 91-97</t>
  </si>
  <si>
    <t>202 = WA6384</t>
  </si>
  <si>
    <t>6384   (202)</t>
  </si>
  <si>
    <t>63.44</t>
  </si>
  <si>
    <t>WA6384</t>
  </si>
  <si>
    <t>OPEL ASCONA 1.3, 1.6 81-88, KADETT 1.3, 1.6 85-93  /262 X 204 X 52.5/</t>
  </si>
  <si>
    <t>203 = WA6385</t>
  </si>
  <si>
    <t>6385   (203)</t>
  </si>
  <si>
    <t>74.08</t>
  </si>
  <si>
    <t>WA6385</t>
  </si>
  <si>
    <t>OPEL KADETT,CORSA 1.2, 1.3 -90 (аналог LX69, C2536)</t>
  </si>
  <si>
    <t>204 = WA6386</t>
  </si>
  <si>
    <t>6386   (204)</t>
  </si>
  <si>
    <t>114.05</t>
  </si>
  <si>
    <t>WA6386</t>
  </si>
  <si>
    <t>MB W123 (200D-300D/TD) -85, T1/T2 210,410 -96 /аналог LX264/</t>
  </si>
  <si>
    <t>206 = WA6388</t>
  </si>
  <si>
    <t>6388   (206)</t>
  </si>
  <si>
    <t>77.75</t>
  </si>
  <si>
    <t>WA6388</t>
  </si>
  <si>
    <t>FORD FIESTA 1.1i 89-95, ESCORT 1.1 83-90, ORION 1.3 85-88</t>
  </si>
  <si>
    <t>208 = WA6001</t>
  </si>
  <si>
    <t>6001   (208)</t>
  </si>
  <si>
    <t>WA6001</t>
  </si>
  <si>
    <t>FORD SIERRA 2.3D  82-93, SCORPIO 2.5D  85-94</t>
  </si>
  <si>
    <t>211 = WA6392</t>
  </si>
  <si>
    <t>6392   (211)</t>
  </si>
  <si>
    <t>WA6392</t>
  </si>
  <si>
    <t>"Skoda 105| Trabant 601"</t>
  </si>
  <si>
    <t>213 = WA6394</t>
  </si>
  <si>
    <t>6394   (213)</t>
  </si>
  <si>
    <t>58.86</t>
  </si>
  <si>
    <t>WA6394</t>
  </si>
  <si>
    <t>Fiat 127,128, Fiorino, Panda -88,  SUZUKI Alto 0.8, 1.0  94-97</t>
  </si>
  <si>
    <t>214 = WA6395</t>
  </si>
  <si>
    <t>6395   (214)</t>
  </si>
  <si>
    <t>35.02</t>
  </si>
  <si>
    <t>WA6395</t>
  </si>
  <si>
    <t>LADA 2101-2109, MOSKVITCH (не инжектор)</t>
  </si>
  <si>
    <t>214A = WA6396</t>
  </si>
  <si>
    <t>6396   (214A)</t>
  </si>
  <si>
    <t>WA6396</t>
  </si>
  <si>
    <t>214AT = WA6396-12</t>
  </si>
  <si>
    <t>6396-12   (214AT)</t>
  </si>
  <si>
    <t>33.74</t>
  </si>
  <si>
    <t>WA6396-12</t>
  </si>
  <si>
    <t>214T = WA6395-12</t>
  </si>
  <si>
    <t>6395-12   (214T)</t>
  </si>
  <si>
    <t>32.45</t>
  </si>
  <si>
    <t>WA6395-12</t>
  </si>
  <si>
    <t>215 = WA6397</t>
  </si>
  <si>
    <t>6397   (215)</t>
  </si>
  <si>
    <t>38.32</t>
  </si>
  <si>
    <t>WA6397</t>
  </si>
  <si>
    <t>Fiat 126p 77-96</t>
  </si>
  <si>
    <t>218/1 = WA9443</t>
  </si>
  <si>
    <t>9443   (218/1)</t>
  </si>
  <si>
    <t>327.85</t>
  </si>
  <si>
    <t>WA9443</t>
  </si>
  <si>
    <t>MB C.E-Classe all 1.8L mot.271 02-&gt;</t>
  </si>
  <si>
    <t>218/2 = WA9484</t>
  </si>
  <si>
    <t>9484   (218/2)</t>
  </si>
  <si>
    <t>287.51</t>
  </si>
  <si>
    <t>WA9484</t>
  </si>
  <si>
    <t>MB E200CDI - E270CDI (LX 816/4)</t>
  </si>
  <si>
    <t>218/3 = WA9485</t>
  </si>
  <si>
    <t>9485   (218/3)</t>
  </si>
  <si>
    <t>324.55</t>
  </si>
  <si>
    <t>WA9485</t>
  </si>
  <si>
    <t>MB E270CDI - E320CDI</t>
  </si>
  <si>
    <t>222 = WA6403</t>
  </si>
  <si>
    <t>6403   (222)</t>
  </si>
  <si>
    <t>WA6403</t>
  </si>
  <si>
    <t>FORD FIESTA,ORION,ESCORT 1.4 85-88, ESCORT 1.4 95-</t>
  </si>
  <si>
    <t>223 = WA6404</t>
  </si>
  <si>
    <t>6404   (223)</t>
  </si>
  <si>
    <t>96.08</t>
  </si>
  <si>
    <t>WA6404</t>
  </si>
  <si>
    <t>FORD SIERRA 1.6, 2.0 82-93</t>
  </si>
  <si>
    <t>225 = WA6406</t>
  </si>
  <si>
    <t>6406   (225)</t>
  </si>
  <si>
    <t>83.98</t>
  </si>
  <si>
    <t>WA6406</t>
  </si>
  <si>
    <t>FORD TRANSIT 1.6, 2.0 85-92,  2.5D 85-89</t>
  </si>
  <si>
    <t>229 = WA6411</t>
  </si>
  <si>
    <t>6411   (229)</t>
  </si>
  <si>
    <t>82.51</t>
  </si>
  <si>
    <t>WA6411</t>
  </si>
  <si>
    <t>RENAULT 19  1.4i 89-95, RAPID  1.4 86-91</t>
  </si>
  <si>
    <t>232/1 = WA6586</t>
  </si>
  <si>
    <t>6586   (232/1)</t>
  </si>
  <si>
    <t>WA6586</t>
  </si>
  <si>
    <t>FIAT PUNTO 1.2i 99-,  DOBLO 1.2i, 1.6i 01-</t>
  </si>
  <si>
    <t>234/3 = WA6732</t>
  </si>
  <si>
    <t>6732   (234/3)</t>
  </si>
  <si>
    <t>WA6732</t>
  </si>
  <si>
    <t>FIAT Doblo 1.9/D/JTD 03/01-&gt;</t>
  </si>
  <si>
    <t>241 = WA6425</t>
  </si>
  <si>
    <t>6425   (241)</t>
  </si>
  <si>
    <t>109.47</t>
  </si>
  <si>
    <t>WA6425</t>
  </si>
  <si>
    <t>FORD SCORPIO 2.0 DOHC 89-92</t>
  </si>
  <si>
    <t>243 = WA6426</t>
  </si>
  <si>
    <t>6426   (243)</t>
  </si>
  <si>
    <t>103.41</t>
  </si>
  <si>
    <t>WA6426</t>
  </si>
  <si>
    <t>MAZDA 626 2.0 83-92</t>
  </si>
  <si>
    <t>246 = WA6033</t>
  </si>
  <si>
    <t>6033   (246)</t>
  </si>
  <si>
    <t>107.81</t>
  </si>
  <si>
    <t>WA6033</t>
  </si>
  <si>
    <t>CITROEN/PEUGEOT 1.0-1.6 бензин  85-</t>
  </si>
  <si>
    <t>246/2 = WA9437</t>
  </si>
  <si>
    <t>9437   (246/2)</t>
  </si>
  <si>
    <t>WA9437</t>
  </si>
  <si>
    <t>HONDA CIVIC/CRV II 2.0 01-&gt;</t>
  </si>
  <si>
    <t>247 = WA6429</t>
  </si>
  <si>
    <t>6429   (247)</t>
  </si>
  <si>
    <t>83.06</t>
  </si>
  <si>
    <t>WA6429</t>
  </si>
  <si>
    <t>PEUGEOT 305 1.5-1.9 80-90, 205 1.7D/TD 83-93, 309 1.8D/TD 89-93</t>
  </si>
  <si>
    <t>250 = WA6003</t>
  </si>
  <si>
    <t>6003   (250)</t>
  </si>
  <si>
    <t>WA6003</t>
  </si>
  <si>
    <t>FORD ESCORT,FIESTA,ORION 1.4, 1.6 88-93</t>
  </si>
  <si>
    <t>251 = WA6004</t>
  </si>
  <si>
    <t>6004   (251)</t>
  </si>
  <si>
    <t>85.08</t>
  </si>
  <si>
    <t>WA6004</t>
  </si>
  <si>
    <t>FORD ESCORT 1.3 88-99, FIESTA 1.3 89-96, ORION 1.3 89-93</t>
  </si>
  <si>
    <t>252 = WA6431</t>
  </si>
  <si>
    <t>6431   (252)</t>
  </si>
  <si>
    <t>73.89</t>
  </si>
  <si>
    <t>WA6431</t>
  </si>
  <si>
    <t>Dacia 1.3  83-\n</t>
  </si>
  <si>
    <t>256 = WA6434</t>
  </si>
  <si>
    <t>6434   (256)</t>
  </si>
  <si>
    <t>115.70</t>
  </si>
  <si>
    <t>WA6434</t>
  </si>
  <si>
    <t>FIAT FIORINO 1.5i 88-93, PEUGEOT J5 2.5D 81-90</t>
  </si>
  <si>
    <t>257 = WA6435</t>
  </si>
  <si>
    <t>6435   (257)</t>
  </si>
  <si>
    <t>123.95</t>
  </si>
  <si>
    <t>WA6435</t>
  </si>
  <si>
    <t>JEEP CHEROKEE 2.5TD 88-96, RENAULT MASTER 80-96</t>
  </si>
  <si>
    <t>263 = WA6441</t>
  </si>
  <si>
    <t>6441   (263)</t>
  </si>
  <si>
    <t>WA6441</t>
  </si>
  <si>
    <t>CITROEN/PEUGEOT/FIAT DUCATO 1.9D/TD, 2.5D/TD  88-02</t>
  </si>
  <si>
    <t>265 = WA6444</t>
  </si>
  <si>
    <t>6444   (265)</t>
  </si>
  <si>
    <t>159.52</t>
  </si>
  <si>
    <t>WA6444</t>
  </si>
  <si>
    <t>VW T4 1.8, 2.0, 2.5 бензин, 1.9D, 2.4D 90- (круглый) /аналог LX314/</t>
  </si>
  <si>
    <t>274 = WA6455</t>
  </si>
  <si>
    <t>6455   (274)</t>
  </si>
  <si>
    <t>WA6455</t>
  </si>
  <si>
    <t>RENAULT R19 1.9D/TD 88-95, 1.8i 92-96, MEGANE 1.9D 96-</t>
  </si>
  <si>
    <t>275 = WA6456</t>
  </si>
  <si>
    <t>6456   (275)</t>
  </si>
  <si>
    <t>WA6456</t>
  </si>
  <si>
    <t>RENAULT MEGANE 1.6i 96-, TRAFIC 2.0 80-97, 2.2 89-97</t>
  </si>
  <si>
    <t>276 = WA6457</t>
  </si>
  <si>
    <t>6457   (276)</t>
  </si>
  <si>
    <t>WA6457</t>
  </si>
  <si>
    <t>RENAULT CLIO 1.2, 1.4 91-98, RAPID 1.4 91-98, MEGANE 1.4i 96-</t>
  </si>
  <si>
    <t>277 = WA6005</t>
  </si>
  <si>
    <t>6005   (277)</t>
  </si>
  <si>
    <t>134.58</t>
  </si>
  <si>
    <t>WA6005</t>
  </si>
  <si>
    <t>RENAULT R19, R21  1.7i 88-95</t>
  </si>
  <si>
    <t>283 = WA6460</t>
  </si>
  <si>
    <t>6460   (283)</t>
  </si>
  <si>
    <t>WA6460</t>
  </si>
  <si>
    <t>MAZDA 626 2.0D  83-87 (RF-46 - engines)</t>
  </si>
  <si>
    <t>285 = 93326E</t>
  </si>
  <si>
    <t>93326E   (285)</t>
  </si>
  <si>
    <t>242.04</t>
  </si>
  <si>
    <t>93326E</t>
  </si>
  <si>
    <t>IVECO DAILY (LX1142)</t>
  </si>
  <si>
    <t>285 = WA6462</t>
  </si>
  <si>
    <t>6462   (285)</t>
  </si>
  <si>
    <t>WA6462</t>
  </si>
  <si>
    <t>Iveco Daily IV/V 99-  | Case| Deutz Fahr| John Deere| Renault Agri (93326E)\n</t>
  </si>
  <si>
    <t>308 = WA6483</t>
  </si>
  <si>
    <t>6483   (308)</t>
  </si>
  <si>
    <t>93.70</t>
  </si>
  <si>
    <t>WA6483</t>
  </si>
  <si>
    <t>309 = WA6484</t>
  </si>
  <si>
    <t>6484   (309)</t>
  </si>
  <si>
    <t>94.80</t>
  </si>
  <si>
    <t>WA6484</t>
  </si>
  <si>
    <t>GAZ 3110,  21/24, 3102, Gazelle (2705/3302/3321/3512)</t>
  </si>
  <si>
    <t>316 = WA6487</t>
  </si>
  <si>
    <t>6487   (316)</t>
  </si>
  <si>
    <t>168.69</t>
  </si>
  <si>
    <t>WA6487</t>
  </si>
  <si>
    <t>316/1 = WA9523</t>
  </si>
  <si>
    <t>9523   (316/1)</t>
  </si>
  <si>
    <t>300.71</t>
  </si>
  <si>
    <t>WA9523</t>
  </si>
  <si>
    <t>Citroen Jumper III| Fiat Ducato| Peugeot Boxer III 7/06--</t>
  </si>
  <si>
    <t>327/1 = WA6538</t>
  </si>
  <si>
    <t>6538   (327/1)</t>
  </si>
  <si>
    <t>155.86</t>
  </si>
  <si>
    <t>WA6538</t>
  </si>
  <si>
    <t>MB A - class бензин 97-,  VANEO бензин  02-</t>
  </si>
  <si>
    <t>333/1 = WA6019</t>
  </si>
  <si>
    <t>6019   (333/1)</t>
  </si>
  <si>
    <t>201.88</t>
  </si>
  <si>
    <t>WA6019</t>
  </si>
  <si>
    <t>MITSUBISHI PAJERO 2.3TD  82-86,  2.5TD  86-89</t>
  </si>
  <si>
    <t>349 = WA6501</t>
  </si>
  <si>
    <t>6501   (349)</t>
  </si>
  <si>
    <t>130.92</t>
  </si>
  <si>
    <t>WA6501</t>
  </si>
  <si>
    <t>RENAULT CLIO, TWINGO 1.2i  96-, KANGOO 1.2i  98- (высокоемкий)</t>
  </si>
  <si>
    <t>350/1 = 46438E</t>
  </si>
  <si>
    <t>46438E   (350/1)</t>
  </si>
  <si>
    <t>264.22</t>
  </si>
  <si>
    <t>46438E</t>
  </si>
  <si>
    <t>John Deere-maszyny</t>
  </si>
  <si>
    <t>350/5 = 93382E</t>
  </si>
  <si>
    <t>93382E   (350/5)</t>
  </si>
  <si>
    <t>996.55</t>
  </si>
  <si>
    <t>93382E</t>
  </si>
  <si>
    <t>Case, Caterpilar, John Deere, Terex, Volvo</t>
  </si>
  <si>
    <t>358 = WA6570</t>
  </si>
  <si>
    <t>6570   (358)</t>
  </si>
  <si>
    <t>258.91</t>
  </si>
  <si>
    <t>WA6570</t>
  </si>
  <si>
    <t>HYUNDAI  H1 2,5 TD 97-&gt;</t>
  </si>
  <si>
    <t>362 = WA6573</t>
  </si>
  <si>
    <t>6573   (362)</t>
  </si>
  <si>
    <t>WA6573</t>
  </si>
  <si>
    <t>362/4 = WA9511</t>
  </si>
  <si>
    <t>9511   (362/4)</t>
  </si>
  <si>
    <t>WA9511</t>
  </si>
  <si>
    <t>BMW E87/ E90 04-&gt;</t>
  </si>
  <si>
    <t>364 = WA6568</t>
  </si>
  <si>
    <t>6568   (364)</t>
  </si>
  <si>
    <t>115.15</t>
  </si>
  <si>
    <t>WA6568</t>
  </si>
  <si>
    <t>Smart 0.6i 8/97-&gt; (nr cz??ci oryginalnej 0001024V001)</t>
  </si>
  <si>
    <t>370/2 = WA9645</t>
  </si>
  <si>
    <t>9645   (370/2)</t>
  </si>
  <si>
    <t>238.00</t>
  </si>
  <si>
    <t>WA9645</t>
  </si>
  <si>
    <t>370/4 = WA9756</t>
  </si>
  <si>
    <t>9756   (370/4)!! заміна для 9445   (370)</t>
  </si>
  <si>
    <t>WA9756</t>
  </si>
  <si>
    <t>Audi A3 II| Seat Altea, Toledo III| Skoda Octavia II| VW Bora II, Caddy III,Golf V, Passat, Touran 1.6, 2.0FSI  04-</t>
  </si>
  <si>
    <t>370/5 = WA9757</t>
  </si>
  <si>
    <t>9757   (370/5)!! заміна для 9446   (370/1)</t>
  </si>
  <si>
    <t>224.43</t>
  </si>
  <si>
    <t>WA9757</t>
  </si>
  <si>
    <t>Audi A3 II| Seat Altea, Toledo III| Skoda Octavia II| VW Bora II, Caddy III,Golf V,Passat, Touran 1.6I 16V, 2.0FSI (wersja z prefiltrem)</t>
  </si>
  <si>
    <t>371/2 = WA9502</t>
  </si>
  <si>
    <t>9502   (371/2)</t>
  </si>
  <si>
    <t>207.19</t>
  </si>
  <si>
    <t>WA9502</t>
  </si>
  <si>
    <t>AUDI A6 2.0 TDI/TFSI (LX1253)</t>
  </si>
  <si>
    <t>371/3 = WA9548</t>
  </si>
  <si>
    <t>9548   (371/3)</t>
  </si>
  <si>
    <t>335.36</t>
  </si>
  <si>
    <t>WA9548</t>
  </si>
  <si>
    <t>Audi A6 2.4, 2.8FSI, 3.0, 3.2FSI, 4.2, 4.2FSI 5/04- (ОЕ 4F0133843, 059133843B)</t>
  </si>
  <si>
    <t>372/1 = WA9567</t>
  </si>
  <si>
    <t>9567   (372/1)</t>
  </si>
  <si>
    <t>WA9567</t>
  </si>
  <si>
    <t>Ford  Focus III, C-Max 3/07-, C-Max II| Volvo C30, S40, V50 (ОЕ 1496204, 7M519601AC|)</t>
  </si>
  <si>
    <t>400 = 93344E</t>
  </si>
  <si>
    <t>93344E   (400)</t>
  </si>
  <si>
    <t>350.76</t>
  </si>
  <si>
    <t>93344E</t>
  </si>
  <si>
    <t>KAMAZ</t>
  </si>
  <si>
    <t>400/2 = 93369E</t>
  </si>
  <si>
    <t>93369E   (400/2)</t>
  </si>
  <si>
    <t>554.48</t>
  </si>
  <si>
    <t>93369E</t>
  </si>
  <si>
    <t>Bie?az, Kamaz, Kraz, Maz  /h=474mm, d=255mm/</t>
  </si>
  <si>
    <t>401 = 93346E</t>
  </si>
  <si>
    <t>93346E   (401)</t>
  </si>
  <si>
    <t>458.03</t>
  </si>
  <si>
    <t>93346E</t>
  </si>
  <si>
    <t>"Iveco| Skoda-Liaz| Tatra (zewn.)"</t>
  </si>
  <si>
    <t>401/1 = 46741E</t>
  </si>
  <si>
    <t>46741E   (401/1)</t>
  </si>
  <si>
    <t>566.21</t>
  </si>
  <si>
    <t>46741E</t>
  </si>
  <si>
    <t>IVECO/MAN - trucks (H = 470.5 mm)  /аналог LX273/</t>
  </si>
  <si>
    <t>401/2 = 93347E</t>
  </si>
  <si>
    <t>93347E   (401/2)</t>
  </si>
  <si>
    <t>665.78</t>
  </si>
  <si>
    <t>93347E</t>
  </si>
  <si>
    <t>RENAULT - trucks (MANAGER)  91-96  (H = 472.5 mm)</t>
  </si>
  <si>
    <t>404 = 42208E</t>
  </si>
  <si>
    <t>42208E   (404)</t>
  </si>
  <si>
    <t>530.09</t>
  </si>
  <si>
    <t>42208E</t>
  </si>
  <si>
    <t>RENAULT - trucks  MANAGER G230, G280  91-96 (H = 415 mm)</t>
  </si>
  <si>
    <t>404/1 = 93085E</t>
  </si>
  <si>
    <t>93085E   (404/1)</t>
  </si>
  <si>
    <t>819.61</t>
  </si>
  <si>
    <t>93085E</t>
  </si>
  <si>
    <t>RENAULT - trucks (MIDLINER, MANAGER, MAGNUM)  88-97</t>
  </si>
  <si>
    <t>404W = 42209E</t>
  </si>
  <si>
    <t>42209E   (404W)</t>
  </si>
  <si>
    <t>431.44</t>
  </si>
  <si>
    <t>42209E</t>
  </si>
  <si>
    <t>RENAULT - trucks (MIDLINER, MANAGER)  83-96</t>
  </si>
  <si>
    <t>405 = 46541E</t>
  </si>
  <si>
    <t>46541E   (405)</t>
  </si>
  <si>
    <t>370.75</t>
  </si>
  <si>
    <t>46541E</t>
  </si>
  <si>
    <t>MB/MAN/DAF/RENAULT - trucks (Зах вставка 46669)</t>
  </si>
  <si>
    <t>405W = 46669E</t>
  </si>
  <si>
    <t>46669E   (405W)</t>
  </si>
  <si>
    <t>340.31</t>
  </si>
  <si>
    <t>46669E</t>
  </si>
  <si>
    <t>RENAULT - trucks (MIDLINER, MANAGER, MAGNUM)  88-96 (Захисна вставка для 46540 та 46541)</t>
  </si>
  <si>
    <t>406 = 42169E</t>
  </si>
  <si>
    <t>42169E   (406)</t>
  </si>
  <si>
    <t>174.74</t>
  </si>
  <si>
    <t>42169E</t>
  </si>
  <si>
    <t>MB 207D, 209D, 307D, 309D  -90 (OM616, OM617 - engines)</t>
  </si>
  <si>
    <t>406/1 = WA6069</t>
  </si>
  <si>
    <t>6069   (406/1)</t>
  </si>
  <si>
    <t>234.51</t>
  </si>
  <si>
    <t>WA6069</t>
  </si>
  <si>
    <t>IVECO DAILY "-10", "-12" - series 90- (по ? шасси)</t>
  </si>
  <si>
    <t>406/2 = 93120E</t>
  </si>
  <si>
    <t>93120E   (406/2)</t>
  </si>
  <si>
    <t>296.13</t>
  </si>
  <si>
    <t>93120E</t>
  </si>
  <si>
    <t>IVECO DAILY "-8", "-10", "-12" - series 90- (по ? шасси)</t>
  </si>
  <si>
    <t>407 = WA6071</t>
  </si>
  <si>
    <t>6071   (407)</t>
  </si>
  <si>
    <t>234.88</t>
  </si>
  <si>
    <t>WA6071</t>
  </si>
  <si>
    <t>MB MB-SERIE -93</t>
  </si>
  <si>
    <t>407/1 = WA6072</t>
  </si>
  <si>
    <t>6072   (407/1)</t>
  </si>
  <si>
    <t>348.20</t>
  </si>
  <si>
    <t>WA6072</t>
  </si>
  <si>
    <t>MB 100 93-96</t>
  </si>
  <si>
    <t>409/1 = 42327E</t>
  </si>
  <si>
    <t>42327E   (409/1)</t>
  </si>
  <si>
    <t>438.41</t>
  </si>
  <si>
    <t>42327E</t>
  </si>
  <si>
    <t>IVECO - trucks (EUROCARGO)  91-</t>
  </si>
  <si>
    <t>413 = WA6084</t>
  </si>
  <si>
    <t>6084   (413)</t>
  </si>
  <si>
    <t>WA6084</t>
  </si>
  <si>
    <t>VW TRANSPORTER 1.6TD 84-92, 1.9 бензин 82-92 (круглый)</t>
  </si>
  <si>
    <t>414 = WA6085</t>
  </si>
  <si>
    <t>6085   (414)</t>
  </si>
  <si>
    <t>179.51</t>
  </si>
  <si>
    <t>WA6085</t>
  </si>
  <si>
    <t>IVECO/RENAULT/MAN - trucks, VW LT 2.4D/TD  78-96</t>
  </si>
  <si>
    <t>416 = 42328E</t>
  </si>
  <si>
    <t>42328E   (416)</t>
  </si>
  <si>
    <t>549.89</t>
  </si>
  <si>
    <t>42328E</t>
  </si>
  <si>
    <t>DAF/SCANIA - trucks 90-98</t>
  </si>
  <si>
    <t>416/3 = 93181E</t>
  </si>
  <si>
    <t>93181E   (416/3)</t>
  </si>
  <si>
    <t>680.26</t>
  </si>
  <si>
    <t>93181E</t>
  </si>
  <si>
    <t>SCANIA - trucks  124 - series  95-  (KNECHT - SYSYTEM)</t>
  </si>
  <si>
    <t>418 = 42482E</t>
  </si>
  <si>
    <t>42482E   (418)</t>
  </si>
  <si>
    <t>42482E</t>
  </si>
  <si>
    <t>MB 809, 814, 914, 1114 (OM364, OM356, OM366 - eng.)  84-</t>
  </si>
  <si>
    <t>433 = WA6108</t>
  </si>
  <si>
    <t>6108   (433)</t>
  </si>
  <si>
    <t>184.83</t>
  </si>
  <si>
    <t>WA6108</t>
  </si>
  <si>
    <t>MITSUBISHI GALANT 1.8, 2.0  87-92, LANCER 1.3i 92-</t>
  </si>
  <si>
    <t>435 = 42162E</t>
  </si>
  <si>
    <t>42162E   (435)</t>
  </si>
  <si>
    <t>482.42</t>
  </si>
  <si>
    <t>42162E</t>
  </si>
  <si>
    <t>MB 208D, 210D, 308D, 310D, 408D, 410D  88-96</t>
  </si>
  <si>
    <t>440 = 42357E</t>
  </si>
  <si>
    <t>42357E   (440)</t>
  </si>
  <si>
    <t>718.22</t>
  </si>
  <si>
    <t>42357E</t>
  </si>
  <si>
    <t>MB - trucks 87-96</t>
  </si>
  <si>
    <t>441/1 = WA6118</t>
  </si>
  <si>
    <t>6118   (441/1)</t>
  </si>
  <si>
    <t>218.20</t>
  </si>
  <si>
    <t>WA6118</t>
  </si>
  <si>
    <t>TOYOTA HIACE 2.4D 95-,  2.5D 01-,  HILUX 2.5D 01-</t>
  </si>
  <si>
    <t>442/4 = 93150E</t>
  </si>
  <si>
    <t>93150E   (442/4)</t>
  </si>
  <si>
    <t>1035.24</t>
  </si>
  <si>
    <t>93150E</t>
  </si>
  <si>
    <t>Volvo FH12  93-</t>
  </si>
  <si>
    <t>444 = 93307E</t>
  </si>
  <si>
    <t>93307E   (444)</t>
  </si>
  <si>
    <t>397.52</t>
  </si>
  <si>
    <t>93307E</t>
  </si>
  <si>
    <t>Kombajny niemieckie Fortschritt E 512, E 514, E 515, E 516</t>
  </si>
  <si>
    <t>446 = 93084E</t>
  </si>
  <si>
    <t>93084E   (446)</t>
  </si>
  <si>
    <t>599.77</t>
  </si>
  <si>
    <t>93084E</t>
  </si>
  <si>
    <t>MAN - trucks F90 94-97, F2000 94-</t>
  </si>
  <si>
    <t>446/2 = 93156E</t>
  </si>
  <si>
    <t>93156E   (446/2)</t>
  </si>
  <si>
    <t>495.25</t>
  </si>
  <si>
    <t>93156E</t>
  </si>
  <si>
    <t>MAN - trucks (L2000, M2000 - series)  95-</t>
  </si>
  <si>
    <t>446/3 = 93236E</t>
  </si>
  <si>
    <t>93236E   (446/3)</t>
  </si>
  <si>
    <t>669.99</t>
  </si>
  <si>
    <t>93236E</t>
  </si>
  <si>
    <t>MAN. seria TG-A 4/ 00, Steyr 4/ 00</t>
  </si>
  <si>
    <t>447/2 = 93123E</t>
  </si>
  <si>
    <t>93123E   (447/2)</t>
  </si>
  <si>
    <t>641.94</t>
  </si>
  <si>
    <t>93123E</t>
  </si>
  <si>
    <t>DAF 95XF 97-02</t>
  </si>
  <si>
    <t>447/7 = 93251E</t>
  </si>
  <si>
    <t>93251E   (447/7)</t>
  </si>
  <si>
    <t>517.44</t>
  </si>
  <si>
    <t>93251E</t>
  </si>
  <si>
    <t>Daf LF45, LF55 1/01--&gt;</t>
  </si>
  <si>
    <t>447/9 = 93309E</t>
  </si>
  <si>
    <t>93309E   (447/9)</t>
  </si>
  <si>
    <t>605.09</t>
  </si>
  <si>
    <t>93309E</t>
  </si>
  <si>
    <t>Daf LF55</t>
  </si>
  <si>
    <t>455 = 42410E</t>
  </si>
  <si>
    <t>42410E   (455)</t>
  </si>
  <si>
    <t>500.57</t>
  </si>
  <si>
    <t>42410E</t>
  </si>
  <si>
    <t>MAN - trucks &amp; buses, IVECO - trucks</t>
  </si>
  <si>
    <t>455/2 = 93231E</t>
  </si>
  <si>
    <t>93231E   (455/2)</t>
  </si>
  <si>
    <t>919.18</t>
  </si>
  <si>
    <t>93231E</t>
  </si>
  <si>
    <t>Iveco Eurocargo 9/00-&gt; (sil. Tector) (nr cz?sci oryginalnej 42471161)</t>
  </si>
  <si>
    <t>464 = 42411E</t>
  </si>
  <si>
    <t>42411E   (464)</t>
  </si>
  <si>
    <t>760.94</t>
  </si>
  <si>
    <t>42411E</t>
  </si>
  <si>
    <t>DAF - trucks (65, 75, 85, 85CF - series)  92-98</t>
  </si>
  <si>
    <t>465/3 = 93157E</t>
  </si>
  <si>
    <t>93157E   (465/3)</t>
  </si>
  <si>
    <t>832.08</t>
  </si>
  <si>
    <t>93157E</t>
  </si>
  <si>
    <t>MB - trucks (ATEGO)  98-</t>
  </si>
  <si>
    <t>468/4 = WA6579</t>
  </si>
  <si>
    <t>6579   (468/4)</t>
  </si>
  <si>
    <t>223.52</t>
  </si>
  <si>
    <t>WA6579</t>
  </si>
  <si>
    <t>471 = 93163E</t>
  </si>
  <si>
    <t>93163E   (471)</t>
  </si>
  <si>
    <t>682.65</t>
  </si>
  <si>
    <t>93163E</t>
  </si>
  <si>
    <t>RENAULT - trucks (PREMIUM all engines)  96-  (H = 463 mm)</t>
  </si>
  <si>
    <t>474 = 93342E</t>
  </si>
  <si>
    <t>93342E   (474)</t>
  </si>
  <si>
    <t>349.85</t>
  </si>
  <si>
    <t>93342E</t>
  </si>
  <si>
    <t>ETALON 5.7D (TATA) - внешний фильтр</t>
  </si>
  <si>
    <t>474W = 93343E</t>
  </si>
  <si>
    <t>93343E   (474W)</t>
  </si>
  <si>
    <t>202.79</t>
  </si>
  <si>
    <t>93343E</t>
  </si>
  <si>
    <t>ETALON 5.7D (TATA) - внутренний фильтр (картридж)</t>
  </si>
  <si>
    <t>477/1 = 93329E</t>
  </si>
  <si>
    <t>93329E   (477/1)</t>
  </si>
  <si>
    <t>1203.20</t>
  </si>
  <si>
    <t>93329E</t>
  </si>
  <si>
    <t>Daf XF 105 (fire retardant)</t>
  </si>
  <si>
    <t>500 = 92132E</t>
  </si>
  <si>
    <t>92132E   (500)</t>
  </si>
  <si>
    <t>44.74</t>
  </si>
  <si>
    <t>92132E</t>
  </si>
  <si>
    <t>500/1 = 92133E</t>
  </si>
  <si>
    <t>92133E   (500/1)</t>
  </si>
  <si>
    <t>89.11</t>
  </si>
  <si>
    <t>92133E</t>
  </si>
  <si>
    <t>Super Maz, KAMAZ (EURO 3)</t>
  </si>
  <si>
    <t>501 = 92134E</t>
  </si>
  <si>
    <t>92134E   (501)</t>
  </si>
  <si>
    <t>64.18</t>
  </si>
  <si>
    <t>92134E</t>
  </si>
  <si>
    <t>RENAULT - trucks 91-96</t>
  </si>
  <si>
    <t>502 = 92135E</t>
  </si>
  <si>
    <t>92135E   (502)</t>
  </si>
  <si>
    <t>80.31</t>
  </si>
  <si>
    <t>92135E</t>
  </si>
  <si>
    <t>Tatra 815 (opakowanie zbiorcze) (OX46)</t>
  </si>
  <si>
    <t>503 = 92136E</t>
  </si>
  <si>
    <t>92136E   (503)</t>
  </si>
  <si>
    <t>46.39</t>
  </si>
  <si>
    <t>92136E</t>
  </si>
  <si>
    <t>Autosan OM366A/ LA</t>
  </si>
  <si>
    <t>504A = 92138E</t>
  </si>
  <si>
    <t>92138E   (504A)</t>
  </si>
  <si>
    <t>51.89</t>
  </si>
  <si>
    <t>92138E</t>
  </si>
  <si>
    <t>Jelcz| Autosan| Star| Bizon – kombajny  Modyfikacja OM 504 z ko?nierzykiem prowadz?cym (opakowanie zbiorcze)</t>
  </si>
  <si>
    <t>506 = WL7019</t>
  </si>
  <si>
    <t>7019   (506)</t>
  </si>
  <si>
    <t>75.73</t>
  </si>
  <si>
    <t>WL7019</t>
  </si>
  <si>
    <t>W123 (200,250) 76-85,  W460 (230G) -93 (M115, M123 - engines)</t>
  </si>
  <si>
    <t>509 = WL7023</t>
  </si>
  <si>
    <t>7023   (509)</t>
  </si>
  <si>
    <t>46.94</t>
  </si>
  <si>
    <t>WL7023</t>
  </si>
  <si>
    <t>MB W201 (E2.3-16, E2.6-16) 84-93, T1/T2 210, 410, 510 77-96</t>
  </si>
  <si>
    <t>510 = WL7024</t>
  </si>
  <si>
    <t>7024   (510)</t>
  </si>
  <si>
    <t>59.77</t>
  </si>
  <si>
    <t>WL7024</t>
  </si>
  <si>
    <t>Mercedes 200 W123 7/80-&gt;4/84 (OX33D)</t>
  </si>
  <si>
    <t>512 = 57131E</t>
  </si>
  <si>
    <t>57131E   (512)</t>
  </si>
  <si>
    <t>46.76</t>
  </si>
  <si>
    <t>57131E</t>
  </si>
  <si>
    <t>MB/RENAULT/MAN/SCANIA/VOLVO - trucks (= WL7026)</t>
  </si>
  <si>
    <t>512 = WL7026</t>
  </si>
  <si>
    <t>7026   (512)</t>
  </si>
  <si>
    <t>WL7026</t>
  </si>
  <si>
    <t>MB/RENAULT/MAN/SCANIA/VOLVO  (  = 57131E )</t>
  </si>
  <si>
    <t>513 = 51063E</t>
  </si>
  <si>
    <t>51063E   (513)</t>
  </si>
  <si>
    <t>68.94</t>
  </si>
  <si>
    <t>51063E</t>
  </si>
  <si>
    <t>MB trucks 6t-18t (аналог HU947/1X)</t>
  </si>
  <si>
    <t>513/1-2x = 92021E</t>
  </si>
  <si>
    <t>92021E   (513/1-2x)</t>
  </si>
  <si>
    <t>127.07</t>
  </si>
  <si>
    <t>92021E</t>
  </si>
  <si>
    <t>MB  SK, MK trucks &amp; buses 88-94 (2шт)</t>
  </si>
  <si>
    <t>514 = 57609E</t>
  </si>
  <si>
    <t>57609E   (514)</t>
  </si>
  <si>
    <t>57609E</t>
  </si>
  <si>
    <t>MB/MAN trucks &amp; buses (аналог OX69D)</t>
  </si>
  <si>
    <t>514/2 = 51073E</t>
  </si>
  <si>
    <t>51073E   (514/2)</t>
  </si>
  <si>
    <t>51073E</t>
  </si>
  <si>
    <t>MB F90   89-90,  Mercedes trucks 73-96</t>
  </si>
  <si>
    <t>515 = WL7035</t>
  </si>
  <si>
    <t>7035   (515)</t>
  </si>
  <si>
    <t>72.24</t>
  </si>
  <si>
    <t>WL7035</t>
  </si>
  <si>
    <t>FORD TRANSIT 2.4D  -86</t>
  </si>
  <si>
    <t>516 = WL7036</t>
  </si>
  <si>
    <t>7036   (516)</t>
  </si>
  <si>
    <t>WL7036</t>
  </si>
  <si>
    <t>MB trucks 6t-18t (аналог OX150DOEKO/HU932/4X)</t>
  </si>
  <si>
    <t>517 = WL7038</t>
  </si>
  <si>
    <t>7038   (517)</t>
  </si>
  <si>
    <t>WL7038</t>
  </si>
  <si>
    <t>BMW 525,525i,728i -87, 530i,535i,730i,735i 87-95 (M30 - engines)</t>
  </si>
  <si>
    <t>518 = WL7064</t>
  </si>
  <si>
    <t>7064   (518)</t>
  </si>
  <si>
    <t>74.81</t>
  </si>
  <si>
    <t>WL7064</t>
  </si>
  <si>
    <t>RENAULT 1.1 - 1.6 бензин -89</t>
  </si>
  <si>
    <t>520 = WL7067</t>
  </si>
  <si>
    <t>7067   (520)</t>
  </si>
  <si>
    <t>48.96</t>
  </si>
  <si>
    <t>WL7067</t>
  </si>
  <si>
    <t>Lada 2101-2107 (W920/21)</t>
  </si>
  <si>
    <t>520/1 = WL7168</t>
  </si>
  <si>
    <t>7168   (520/1)</t>
  </si>
  <si>
    <t>46.57</t>
  </si>
  <si>
    <t>WL7168</t>
  </si>
  <si>
    <t>ZAZ TAVRIA, SLAVUTA, SENS 1.3i,  Lada 2108-21099</t>
  </si>
  <si>
    <t>520/1T = WL7168-12</t>
  </si>
  <si>
    <t>7168-12   (520/1T)</t>
  </si>
  <si>
    <t>45.29</t>
  </si>
  <si>
    <t>WL7168-12</t>
  </si>
  <si>
    <t>Lada 2108-21099, Ока  (W914/2)</t>
  </si>
  <si>
    <t>520T = WL7067-12</t>
  </si>
  <si>
    <t>7067-12   (520T)</t>
  </si>
  <si>
    <t>48.22</t>
  </si>
  <si>
    <t>WL7067-12</t>
  </si>
  <si>
    <t>Lada 2101-2107  (W920/21)</t>
  </si>
  <si>
    <t>522 = WL7040</t>
  </si>
  <si>
    <t>7040   (522)</t>
  </si>
  <si>
    <t>70.96</t>
  </si>
  <si>
    <t>WL7040</t>
  </si>
  <si>
    <t>523 = WL7042</t>
  </si>
  <si>
    <t>7042   (523)</t>
  </si>
  <si>
    <t>66.93</t>
  </si>
  <si>
    <t>WL7042</t>
  </si>
  <si>
    <t>523/1 = WL7043</t>
  </si>
  <si>
    <t>7043   (523/1)</t>
  </si>
  <si>
    <t>115.88</t>
  </si>
  <si>
    <t>WL7043</t>
  </si>
  <si>
    <t>BMW 325TD/TDS 91-99, 525TD/TDS 91-95 (M51 - eng) (металл крышка)</t>
  </si>
  <si>
    <t>524 = 92139E</t>
  </si>
  <si>
    <t>92139E   (524)</t>
  </si>
  <si>
    <t>50.42</t>
  </si>
  <si>
    <t>92139E</t>
  </si>
  <si>
    <t>IFA L50 (sil. 4UD), L60 (sil. 6UD) (opakowanie zbiorcze)</t>
  </si>
  <si>
    <t>525 = WL7068</t>
  </si>
  <si>
    <t>7068   (525)</t>
  </si>
  <si>
    <t>73.34</t>
  </si>
  <si>
    <t>WL7068</t>
  </si>
  <si>
    <t>VW/AUDI/SEAT/VOLVO diesel engines</t>
  </si>
  <si>
    <t>525/1 = WL7069</t>
  </si>
  <si>
    <t>7069   (525/1)</t>
  </si>
  <si>
    <t>124.87</t>
  </si>
  <si>
    <t>WL7069</t>
  </si>
  <si>
    <t>AUDI 80 1.9TDI 91-96</t>
  </si>
  <si>
    <t>525/3 = WL7217</t>
  </si>
  <si>
    <t>7217   (525/3)</t>
  </si>
  <si>
    <t>WL7217</t>
  </si>
  <si>
    <t>525/4 = WL7260</t>
  </si>
  <si>
    <t>7260   (525/4)</t>
  </si>
  <si>
    <t>WL7260</t>
  </si>
  <si>
    <t>VW GOLF 93-98, SHARAN 95-00 1.9TDI (AHU,1Z)</t>
  </si>
  <si>
    <t>525T = WL7068-10</t>
  </si>
  <si>
    <t>7068-10   (525T)</t>
  </si>
  <si>
    <t>72.80</t>
  </si>
  <si>
    <t>WL7068-10</t>
  </si>
  <si>
    <t>VW/AUDI/SEAT/VOLVO diesel engines (без упаковки)</t>
  </si>
  <si>
    <t>526 = WL7070</t>
  </si>
  <si>
    <t>7070   (526)</t>
  </si>
  <si>
    <t>58.31</t>
  </si>
  <si>
    <t>WL7070</t>
  </si>
  <si>
    <t>526/1 = WL7071</t>
  </si>
  <si>
    <t>7071   (526/1)</t>
  </si>
  <si>
    <t>WL7071</t>
  </si>
  <si>
    <t>VW/AUDI 1.8-2.8 бензин 91- (аналог W719/30)</t>
  </si>
  <si>
    <t>526/1T = WL7071-12</t>
  </si>
  <si>
    <t>7071-12   (526/1T)</t>
  </si>
  <si>
    <t>74.26</t>
  </si>
  <si>
    <t>WL7071-12</t>
  </si>
  <si>
    <t>VAG A3/ A4/ A6/ 80/ 100/ Golf 4/ Passat B5/ B6/ Vento/ T4/ Multivan 94-&gt; (=OC264/ OC154/ OC240)</t>
  </si>
  <si>
    <t>526/5 = WL7321</t>
  </si>
  <si>
    <t>7321   (526/5)</t>
  </si>
  <si>
    <t>136.97</t>
  </si>
  <si>
    <t>WL7321</t>
  </si>
  <si>
    <t>AUDI 80 2.6, 2.8  92-96, A4,A6,A8 2.4-3.0  95-</t>
  </si>
  <si>
    <t>526/6 = WL7448</t>
  </si>
  <si>
    <t>7448   (526/6)</t>
  </si>
  <si>
    <t>WL7448</t>
  </si>
  <si>
    <t>Audi A4 1.8T| Skoda Superb 1.8T 20V (AWT), VW Passat  1.8T (ОЕ 068115561F)</t>
  </si>
  <si>
    <t>526/7 = WL7466</t>
  </si>
  <si>
    <t>7466   (526/7)</t>
  </si>
  <si>
    <t>WL7466</t>
  </si>
  <si>
    <t>Audi, Seat, Skoda, Volkswagen 1.8TFSI, 2.0TFSI</t>
  </si>
  <si>
    <t>526T = WL7070-12</t>
  </si>
  <si>
    <t>7070-12   (526T)</t>
  </si>
  <si>
    <t>56.84</t>
  </si>
  <si>
    <t>WL7070-12</t>
  </si>
  <si>
    <t>531 = WL7075</t>
  </si>
  <si>
    <t>7075   (531)</t>
  </si>
  <si>
    <t>82.33</t>
  </si>
  <si>
    <t>WL7075</t>
  </si>
  <si>
    <t>NISSAN/OPEL REKORD 2.2D/TD -86, OMEGA A 2.3D 86-94</t>
  </si>
  <si>
    <t>532/1 = WL7077</t>
  </si>
  <si>
    <t>7077   (532/1)</t>
  </si>
  <si>
    <t>WL7077</t>
  </si>
  <si>
    <t>FORD ESCORT,FIESTA,FOCUS,MONDEO 1.6, 1.8 92- /аналог OC266, h=121.5mm/</t>
  </si>
  <si>
    <t>532/2 = WL7323</t>
  </si>
  <si>
    <t>7323   (532/2)</t>
  </si>
  <si>
    <t>74.44</t>
  </si>
  <si>
    <t>WL7323</t>
  </si>
  <si>
    <t>FORD Focus/ C-Max/ Mondeo III &amp; Mazda 3, 5-Serie/ MPV II 1, 8…2, 3L all 2000-&gt; (see OE)</t>
  </si>
  <si>
    <t>533 = WL7078</t>
  </si>
  <si>
    <t>7078   (533)</t>
  </si>
  <si>
    <t>65.46</t>
  </si>
  <si>
    <t>WL7078</t>
  </si>
  <si>
    <t>FORD 1.6-2.9 бен. -93 (аналог OC23)</t>
  </si>
  <si>
    <t>533/1 = WL7214</t>
  </si>
  <si>
    <t>7214   (533/1)</t>
  </si>
  <si>
    <t>WL7214</t>
  </si>
  <si>
    <t>FORD MONDEO 2.5i 07/94-11/00, 3.0i 04/02-</t>
  </si>
  <si>
    <t>534 = WL7079</t>
  </si>
  <si>
    <t>7079   (534)</t>
  </si>
  <si>
    <t>WL7079</t>
  </si>
  <si>
    <t>CHRYSLER NEON  1.8, 2.0i  94-, PT CRUISER 2.0, 2.4 00-</t>
  </si>
  <si>
    <t>536 = WL7081</t>
  </si>
  <si>
    <t>7081   (536)</t>
  </si>
  <si>
    <t>WL7081</t>
  </si>
  <si>
    <t>MITSUBISHI Colt II,III, GALANT, LANCER IV, L300  1.8, 2.0 87- /аналог OC230/</t>
  </si>
  <si>
    <t>537 = WL7324</t>
  </si>
  <si>
    <t>7324   (537)</t>
  </si>
  <si>
    <t>WL7324</t>
  </si>
  <si>
    <t>FIAT 1.1-1.6 бензин 87-94</t>
  </si>
  <si>
    <t>537/1 = WL7083</t>
  </si>
  <si>
    <t>7083   (537/1)</t>
  </si>
  <si>
    <t>WL7083</t>
  </si>
  <si>
    <t>ALFA ROMEO/FIAT  1.6i 16V-2.0i 16V  96-</t>
  </si>
  <si>
    <t>538 = WL7291</t>
  </si>
  <si>
    <t>7291   (538)</t>
  </si>
  <si>
    <t>WL7291</t>
  </si>
  <si>
    <t>RENAULT TRAFIC,MASTER 2.1D  80-97, LAGUNA 2.2TD 99-01</t>
  </si>
  <si>
    <t>539 = WL7085</t>
  </si>
  <si>
    <t>7085   (539)</t>
  </si>
  <si>
    <t>61.61</t>
  </si>
  <si>
    <t>WL7085</t>
  </si>
  <si>
    <t>SUZUKI SWIFT 1.0-1.6 89-</t>
  </si>
  <si>
    <t>540/1 = WL7086</t>
  </si>
  <si>
    <t>7086   (540/1)</t>
  </si>
  <si>
    <t>68.03</t>
  </si>
  <si>
    <t>WL7086</t>
  </si>
  <si>
    <t>FIAT DUCATO 2.0 -94, PEUGEOT BOXER 1.9D 96-  /аналог OC100/</t>
  </si>
  <si>
    <t>540/1T = WL7086-12</t>
  </si>
  <si>
    <t>7086-12   (540/1T)</t>
  </si>
  <si>
    <t>60.14</t>
  </si>
  <si>
    <t>WL7086-12</t>
  </si>
  <si>
    <t>FIAT DUCATO 2.0 -94, PEUGEOT BOXER 1.9D 96- без упаковки /аналог OC100/</t>
  </si>
  <si>
    <t>541 = WL7087</t>
  </si>
  <si>
    <t>7087   (541)</t>
  </si>
  <si>
    <t>66.01</t>
  </si>
  <si>
    <t>WL7087</t>
  </si>
  <si>
    <t>OPEL ASCONA,KADETT,VECTRA 1.6D, 1.7D -95 (аналог W713/18)</t>
  </si>
  <si>
    <t>542 = WL7088</t>
  </si>
  <si>
    <t>7088   (542)</t>
  </si>
  <si>
    <t>77.38</t>
  </si>
  <si>
    <t>WL7088</t>
  </si>
  <si>
    <t>FORD SIERRA 2.3D, SCORPIO 2.5D/TD -93</t>
  </si>
  <si>
    <t>543 = WL7089</t>
  </si>
  <si>
    <t>7089   (543)</t>
  </si>
  <si>
    <t>WL7089</t>
  </si>
  <si>
    <t>FORD Transit  2.5D/TD/DI 83-00</t>
  </si>
  <si>
    <t>544 = WL7090</t>
  </si>
  <si>
    <t>7090   (544)</t>
  </si>
  <si>
    <t>WL7090</t>
  </si>
  <si>
    <t>545 = WL7091</t>
  </si>
  <si>
    <t>7091   (545)</t>
  </si>
  <si>
    <t>WL7091</t>
  </si>
  <si>
    <t>FIAT BRAVA,BRAVO,FIORINO,MAREA,TEMPRA 1.4, 1.6 94- /аналог OC66/</t>
  </si>
  <si>
    <t>545/2 = WL7252</t>
  </si>
  <si>
    <t>7252   (545/2)</t>
  </si>
  <si>
    <t>69.67</t>
  </si>
  <si>
    <t>WL7252</t>
  </si>
  <si>
    <t>RENAULT CLIO, TWINGO, KANGOO 1.2i 96-, FIAT PUNTO 1.2i 99-</t>
  </si>
  <si>
    <t>546 = WL7093</t>
  </si>
  <si>
    <t>7093   (546)</t>
  </si>
  <si>
    <t>WL7093</t>
  </si>
  <si>
    <t>546/1 = WL7433</t>
  </si>
  <si>
    <t>7433   (546/1)</t>
  </si>
  <si>
    <t>87.09</t>
  </si>
  <si>
    <t>WL7433</t>
  </si>
  <si>
    <t>FOCUS II/MONDEO IV 1.8TDCi 05-&gt;</t>
  </si>
  <si>
    <t>549 = WL7096</t>
  </si>
  <si>
    <t>7096   (549)</t>
  </si>
  <si>
    <t>91.86</t>
  </si>
  <si>
    <t>WL7096</t>
  </si>
  <si>
    <t>FORD EXPLORER 4.0V6 93-, TOYOTA HIACE 2.2D,2.4D -89</t>
  </si>
  <si>
    <t>550 = WL7097</t>
  </si>
  <si>
    <t>7097   (550)</t>
  </si>
  <si>
    <t>79.03</t>
  </si>
  <si>
    <t>WL7097</t>
  </si>
  <si>
    <t>Gazel 2.3i  FS Lublin ?uk (sil. S 16, S 17, S 18, S 19)| Tarpan z sil. S 237 (OC62)</t>
  </si>
  <si>
    <t>551 = WL7098</t>
  </si>
  <si>
    <t>7098   (551)</t>
  </si>
  <si>
    <t>43.09</t>
  </si>
  <si>
    <t>WL7098</t>
  </si>
  <si>
    <t>OPEL ASCONA,CORSA,KADETT 1.2, 1.3 -85</t>
  </si>
  <si>
    <t>554 = WL7101</t>
  </si>
  <si>
    <t>7101   (554)</t>
  </si>
  <si>
    <t>WL7101</t>
  </si>
  <si>
    <t>PEUGEOT 309 1.1, 1.3 85-89</t>
  </si>
  <si>
    <t>556 = WL7105</t>
  </si>
  <si>
    <t>7105   (556)</t>
  </si>
  <si>
    <t>76.09</t>
  </si>
  <si>
    <t>WL7105</t>
  </si>
  <si>
    <t>BMW  316,318,518 (M10B18 eng.) -87</t>
  </si>
  <si>
    <t>557 = WL7107</t>
  </si>
  <si>
    <t>7107   (557)</t>
  </si>
  <si>
    <t>59.04</t>
  </si>
  <si>
    <t>WL7107</t>
  </si>
  <si>
    <t>HONDA 1.5-2.0 бензин 85-, OPEL VECTRA 1.7TD 90-95  /аналог OC115/</t>
  </si>
  <si>
    <t>558 = WL7108</t>
  </si>
  <si>
    <t>7108   (558)</t>
  </si>
  <si>
    <t>WL7108</t>
  </si>
  <si>
    <t>MAZDA E2000,E2200, ISUZU MIDI 2.2D 89-, HYUNDAI 1.5-2.5 90-  /аналог OC205/</t>
  </si>
  <si>
    <t>559 = WL7110</t>
  </si>
  <si>
    <t>7110   (559)</t>
  </si>
  <si>
    <t>WL7110</t>
  </si>
  <si>
    <t>562 = WL7113</t>
  </si>
  <si>
    <t>7113   (562)</t>
  </si>
  <si>
    <t>WL7113</t>
  </si>
  <si>
    <t>FORD 1.6-2.9 бен. -93  /аналог OC23/</t>
  </si>
  <si>
    <t>563 = WL7114</t>
  </si>
  <si>
    <t>7114   (563)</t>
  </si>
  <si>
    <t>WL7114</t>
  </si>
  <si>
    <t>Landrover 90, 110, Defender, Discovery, Range Rover| M.A.N. 11.136U, 13.136U| Nissan Bluebird 2.0D 4/80-&gt;9/87, Laurel 2.8D, Vanette Diesel, Patrol, Terrano</t>
  </si>
  <si>
    <t>564 = WL7119</t>
  </si>
  <si>
    <t>7119   (564)</t>
  </si>
  <si>
    <t>WL7119</t>
  </si>
  <si>
    <t>SUZUKI SWIFT 1.0-1.6 89-,  DAEWOO MATIZ  04-</t>
  </si>
  <si>
    <t>564/1 = WL7491</t>
  </si>
  <si>
    <t>7491   (564/1)</t>
  </si>
  <si>
    <t>WL7491</t>
  </si>
  <si>
    <t>Chevrolet Aveo 1.2i, 1.4i 4/08-&gt;, Spark 1.0i, 1.2i 3/10-&gt;</t>
  </si>
  <si>
    <t>566/2 = WL7319</t>
  </si>
  <si>
    <t>7319   (566/2)</t>
  </si>
  <si>
    <t>WL7319</t>
  </si>
  <si>
    <t>567 = WL7123</t>
  </si>
  <si>
    <t>7123   (567)</t>
  </si>
  <si>
    <t>WL7123</t>
  </si>
  <si>
    <t>NISSAN SUNNY,PRIMERA,ALMERA 2.0D 91-</t>
  </si>
  <si>
    <t>567/3 = WL7400</t>
  </si>
  <si>
    <t>7400   (567/3)</t>
  </si>
  <si>
    <t>89.48</t>
  </si>
  <si>
    <t>WL7400</t>
  </si>
  <si>
    <t>Nissan Sanny I/III , Almera I/II, Primera, X-Trail 1.7-2.5D, dCi   95-</t>
  </si>
  <si>
    <t>568 = WL7124</t>
  </si>
  <si>
    <t>7124   (568)</t>
  </si>
  <si>
    <t>48.04</t>
  </si>
  <si>
    <t>WL7124</t>
  </si>
  <si>
    <t>VOLVO trucks &amp; PKW (PKW: 2.4-2.9 бензин) 86-</t>
  </si>
  <si>
    <t>569 = 51189E</t>
  </si>
  <si>
    <t>51189E   (569)</t>
  </si>
  <si>
    <t>51189E</t>
  </si>
  <si>
    <t>Iveco Daily, Grinta 28.8, 30.8, 32.8, 35.8, 40.8 -&gt;4/83| Renault Trafic P1400D (2445CC.) Diesel -&gt;6/86| Volkswagen Transporter 1.9 D -&gt;9/90| Massey Ferguson 902, 904, 1002, 1004, 912, 914, 932, 934 1012, 1222, 1224, 1614, 1232, 1234, 1634</t>
  </si>
  <si>
    <t>569 = WL7125</t>
  </si>
  <si>
    <t>7125   (569)</t>
  </si>
  <si>
    <t>WL7125</t>
  </si>
  <si>
    <t>Iveco Daily, Grinta 28.8, 30.8, 32.8, 40.8 -83| Renault Trafic Diesel -86, VW Transporter 1.9 D -90 /H205W01/</t>
  </si>
  <si>
    <t>570 = WL7129</t>
  </si>
  <si>
    <t>7129   (570)</t>
  </si>
  <si>
    <t>39.79</t>
  </si>
  <si>
    <t>WL7129</t>
  </si>
  <si>
    <t>Daewoo Espero, Lanos,Leganza, Nexia, Nubira Opel Astra, Corsa, Vectra</t>
  </si>
  <si>
    <t>570T = WL7129-12</t>
  </si>
  <si>
    <t>7129-12   (570T)</t>
  </si>
  <si>
    <t>36.31</t>
  </si>
  <si>
    <t>WL7129-12</t>
  </si>
  <si>
    <t>571 = WL7130</t>
  </si>
  <si>
    <t>7130   (571)</t>
  </si>
  <si>
    <t>85.26</t>
  </si>
  <si>
    <t>WL7130</t>
  </si>
  <si>
    <t>HONDA CIVIC 1.2-1.5 -87 (аналог W815/81)</t>
  </si>
  <si>
    <t>572 = WL7131</t>
  </si>
  <si>
    <t>7131   (572)</t>
  </si>
  <si>
    <t>57.76</t>
  </si>
  <si>
    <t>WL7131</t>
  </si>
  <si>
    <t>TOYOTA 1.3-2.0 бензин 85-</t>
  </si>
  <si>
    <t>573 = WL7132</t>
  </si>
  <si>
    <t>7132   (573)</t>
  </si>
  <si>
    <t>WL7132</t>
  </si>
  <si>
    <t>MB W201 (E2.0-E2.6) 85-93, W124 (200E-300E) 86-93 /аналог OC110/</t>
  </si>
  <si>
    <t>574 = WL7133</t>
  </si>
  <si>
    <t>7133   (574)</t>
  </si>
  <si>
    <t>125.05</t>
  </si>
  <si>
    <t>WL7133</t>
  </si>
  <si>
    <t>VW LT 2.4D/TD 78-96, T4 2.4D/TD 92-</t>
  </si>
  <si>
    <t>574/2 = WL7414</t>
  </si>
  <si>
    <t>7414   (574/2)</t>
  </si>
  <si>
    <t>303.83</t>
  </si>
  <si>
    <t>WL7414</t>
  </si>
  <si>
    <t>Volksvagen LT 28, LT 35, LT46 2.8TDI 8/97-</t>
  </si>
  <si>
    <t>575 = WL7134</t>
  </si>
  <si>
    <t>7134   (575)</t>
  </si>
  <si>
    <t>67.11</t>
  </si>
  <si>
    <t>WL7134</t>
  </si>
  <si>
    <t>MAZDA 626 1.6, 2.0 -87, MX6 2.5 24V 92-, XEDOX6 2.0 V6 94- h=85mm</t>
  </si>
  <si>
    <t>576 = WL7135</t>
  </si>
  <si>
    <t>7135   (576)</t>
  </si>
  <si>
    <t>WL7135</t>
  </si>
  <si>
    <t>SCANIA - trucks (аналог W920/7)</t>
  </si>
  <si>
    <t>577 = 92027E</t>
  </si>
  <si>
    <t>92027E   (577)</t>
  </si>
  <si>
    <t>92027E</t>
  </si>
  <si>
    <t>VOLVO - trucks (аналог W950/13)</t>
  </si>
  <si>
    <t>580/7 = WL7278</t>
  </si>
  <si>
    <t>7278   (580/7)</t>
  </si>
  <si>
    <t>WL7278</t>
  </si>
  <si>
    <t>LAND ROVER Discovery I 2.0 16V 09/93-06/94/ II 2.0 16V 06/94-&gt;/Freelander 1.8/2.5/16V/V6 02/98-&gt;.LOTUS Elise 1.8 11/00-&gt;/Exige 1.8 16V 03/00-&gt;.ROVER 100 1.1/1.4/GTI/16V 03/90-12/98/ 200 1.4-2.0/GTI/T 10/89-03/00/ 25 1.1-1.8/16V 10/99-&gt;/ 400 1.4-2.0/GTI/GS</t>
  </si>
  <si>
    <t>581 = WL7143</t>
  </si>
  <si>
    <t>7143   (581)</t>
  </si>
  <si>
    <t>63.08</t>
  </si>
  <si>
    <t>WL7143</t>
  </si>
  <si>
    <t>NISSAN 1.4-2.0 бензин 86- /аналог OC109/1/</t>
  </si>
  <si>
    <t>583 = WL7145</t>
  </si>
  <si>
    <t>7145   (583)</t>
  </si>
  <si>
    <t>69.31</t>
  </si>
  <si>
    <t>WL7145</t>
  </si>
  <si>
    <t>TOYOTA COROLLA 1.6GTI 87-93, 1.4i, 1.6i 01-</t>
  </si>
  <si>
    <t>584 = 51791</t>
  </si>
  <si>
    <t>51791   (584)</t>
  </si>
  <si>
    <t>209.03</t>
  </si>
  <si>
    <t>51791E</t>
  </si>
  <si>
    <t>RENAULT/VOLVO - trucks (FULL FLOW) /аналог OC121/</t>
  </si>
  <si>
    <t>587 = WL7154</t>
  </si>
  <si>
    <t>7154   (587)</t>
  </si>
  <si>
    <t>165.02</t>
  </si>
  <si>
    <t>WL7154</t>
  </si>
  <si>
    <t>MITSUBISHI L200,L300,L400, PAJERO 2.5D/TD 86-</t>
  </si>
  <si>
    <t>588 = WL7155</t>
  </si>
  <si>
    <t>7155   (588)</t>
  </si>
  <si>
    <t>208.85</t>
  </si>
  <si>
    <t>WL7155</t>
  </si>
  <si>
    <t>NISSAN PATROL 2.8TD 88-00, PRIMERA 2.0D/TD 91-</t>
  </si>
  <si>
    <t>588/1 = WL7222</t>
  </si>
  <si>
    <t>7222   (588/1)</t>
  </si>
  <si>
    <t>97.00</t>
  </si>
  <si>
    <t>WL7222</t>
  </si>
  <si>
    <t>589 = WL7156</t>
  </si>
  <si>
    <t>7156   (589)</t>
  </si>
  <si>
    <t>113.31</t>
  </si>
  <si>
    <t>WL7156</t>
  </si>
  <si>
    <t>MAZDA 323 1.7D -89, 2.0D -87, E2200 2.2D 84- (BY PASS)</t>
  </si>
  <si>
    <t>591/1 = WL7243</t>
  </si>
  <si>
    <t>7243   (591/1)</t>
  </si>
  <si>
    <t>WL7243</t>
  </si>
  <si>
    <t>MB W124/W140 (400E, 500E, E420, E500, 400SE, 500SE, S420,S500) -98</t>
  </si>
  <si>
    <t>592 = 51820E</t>
  </si>
  <si>
    <t>51820E   (592)</t>
  </si>
  <si>
    <t>147.79</t>
  </si>
  <si>
    <t>51820E</t>
  </si>
  <si>
    <t>DAF/IVECO - trucks</t>
  </si>
  <si>
    <t>592/1 = 51429E</t>
  </si>
  <si>
    <t>51429E   (592/1)</t>
  </si>
  <si>
    <t>348.38</t>
  </si>
  <si>
    <t>51429E</t>
  </si>
  <si>
    <t>592/2 = 51607</t>
  </si>
  <si>
    <t>51607   (592/2)</t>
  </si>
  <si>
    <t>140.82</t>
  </si>
  <si>
    <t>51607E</t>
  </si>
  <si>
    <t>DAF45,55 91-00</t>
  </si>
  <si>
    <t>592/5 = WL7401</t>
  </si>
  <si>
    <t>7401   (592/5)</t>
  </si>
  <si>
    <t>169.43</t>
  </si>
  <si>
    <t>WL7401</t>
  </si>
  <si>
    <t>Fiat Ducato 2.3JTD 2/02--&gt;, Iveco Turbo Daily 2.3JTD 9/02--&gt;</t>
  </si>
  <si>
    <t>592/7 = WL7421</t>
  </si>
  <si>
    <t>7421   (592/7)</t>
  </si>
  <si>
    <t>215.81</t>
  </si>
  <si>
    <t>WL7421</t>
  </si>
  <si>
    <t>Iveco Daily 3.0HPI 136/166HP (= 92094E)</t>
  </si>
  <si>
    <t>592/9 = WL7445</t>
  </si>
  <si>
    <t>7445   (592/9)</t>
  </si>
  <si>
    <t>275.59</t>
  </si>
  <si>
    <t>WL7445</t>
  </si>
  <si>
    <t>594 = WL7160</t>
  </si>
  <si>
    <t>7160   (594)</t>
  </si>
  <si>
    <t>165.94</t>
  </si>
  <si>
    <t>WL7160</t>
  </si>
  <si>
    <t>594/1 = WL7161</t>
  </si>
  <si>
    <t>7161   (594/1)</t>
  </si>
  <si>
    <t>216.36</t>
  </si>
  <si>
    <t>WL7161</t>
  </si>
  <si>
    <t>RENAULT MASTER 2.5TD 88-98, TRAFIC 2.5D 89-01</t>
  </si>
  <si>
    <t>595 = WL7200</t>
  </si>
  <si>
    <t>7200   (595)</t>
  </si>
  <si>
    <t>64.72</t>
  </si>
  <si>
    <t>WL7200</t>
  </si>
  <si>
    <t>MAZDA 323 1.6 85-93, 1.5i 94-01, 626 1.8, 2.0 -99</t>
  </si>
  <si>
    <t>600 = WL7000</t>
  </si>
  <si>
    <t>7000   (600)</t>
  </si>
  <si>
    <t>70.41</t>
  </si>
  <si>
    <t>WL7000</t>
  </si>
  <si>
    <t>MB (OM615, OM616, OM617 - engines) 68-77 (тонкой очистки)</t>
  </si>
  <si>
    <t>601 = 51385E</t>
  </si>
  <si>
    <t>51385E   (601)</t>
  </si>
  <si>
    <t>51385E</t>
  </si>
  <si>
    <t>MB W123 (200D-300D) -85, 207D/209D/307D/309D/407D/409D/507D -90</t>
  </si>
  <si>
    <t>601 = WL7001</t>
  </si>
  <si>
    <t>7001   (601)</t>
  </si>
  <si>
    <t>WL7001</t>
  </si>
  <si>
    <t>601/1 = WL7003</t>
  </si>
  <si>
    <t>7003   (601/1)</t>
  </si>
  <si>
    <t>WL7003</t>
  </si>
  <si>
    <t>MB MB - series 88- (аналог PF1055/1N)</t>
  </si>
  <si>
    <t>602 = WL7004</t>
  </si>
  <si>
    <t>7004   (602)</t>
  </si>
  <si>
    <t>WL7004</t>
  </si>
  <si>
    <t>MB W201 (2.0D, 2.5D/TD), W124 (200D, 300D/TD) -95, 208D-508D -96 (OX38D)</t>
  </si>
  <si>
    <t>604 = 51006E</t>
  </si>
  <si>
    <t>51006E   (604)</t>
  </si>
  <si>
    <t>83.79</t>
  </si>
  <si>
    <t>51006E</t>
  </si>
  <si>
    <t>MB 405D, 508D, 608D  70-77</t>
  </si>
  <si>
    <t>610 = WL7061</t>
  </si>
  <si>
    <t>7061   (610)</t>
  </si>
  <si>
    <t>WL7061</t>
  </si>
  <si>
    <t>612 = WL7166</t>
  </si>
  <si>
    <t>7166   (612)</t>
  </si>
  <si>
    <t>WL7166</t>
  </si>
  <si>
    <t>613 = WL7167</t>
  </si>
  <si>
    <t>7167   (613)</t>
  </si>
  <si>
    <t>76.28</t>
  </si>
  <si>
    <t>WL7167</t>
  </si>
  <si>
    <t>NISSAN MICRA 1.0  82-91,  1.2 86-92</t>
  </si>
  <si>
    <t>614 = WL7063</t>
  </si>
  <si>
    <t>7063   (614)</t>
  </si>
  <si>
    <t>59.59</t>
  </si>
  <si>
    <t>WL7063</t>
  </si>
  <si>
    <t>Wo?ga Gaz 24 (Gazel) 2.4 (OX12)</t>
  </si>
  <si>
    <t>616 = WL7169</t>
  </si>
  <si>
    <t>7169   (616)</t>
  </si>
  <si>
    <t>WL7169</t>
  </si>
  <si>
    <t>VW GOLF,VENTO,POLO,BORA,CADDY 1.4, 1.6 91-</t>
  </si>
  <si>
    <t>616/2 = WL7257</t>
  </si>
  <si>
    <t>7257   (616/2)</t>
  </si>
  <si>
    <t>WL7257</t>
  </si>
  <si>
    <t>SKODA FABIA 1.0i 99-00, 1.4i 01-</t>
  </si>
  <si>
    <t>616/3 = WL7503</t>
  </si>
  <si>
    <t>7503   (616/3)</t>
  </si>
  <si>
    <t>76.64</t>
  </si>
  <si>
    <t>WL7503</t>
  </si>
  <si>
    <t>Audi A3 (8V)| Seat Leon III, Mii| Skoda Citigo, Octavia III, Volkswagen Golf VII, Jetta IV, Polo V, Up</t>
  </si>
  <si>
    <t>617 = WL7171</t>
  </si>
  <si>
    <t>7171   (617)</t>
  </si>
  <si>
    <t>55.56</t>
  </si>
  <si>
    <t>WL7171</t>
  </si>
  <si>
    <t>MAZDA E2000,E2200, ISUZU MIDI 2.2D 89-, HYUNDAI 1.5-2.5 90-</t>
  </si>
  <si>
    <t>618 = WL7172</t>
  </si>
  <si>
    <t>7172   (618)</t>
  </si>
  <si>
    <t>69.13</t>
  </si>
  <si>
    <t>WL7172</t>
  </si>
  <si>
    <t>Chrysler| Lexus| Mini| Suzuki| Toyota 4-Runner, Auris, Camry FF, Celica, Corolla IX/X, Cressida, Crown, Hiace, Landcruiser, Previa, Runner, Soarer, Starlet, Supra, Yaris| Volkswagen /аналог OC235, h=88mm/</t>
  </si>
  <si>
    <t>619/1 = WL7175</t>
  </si>
  <si>
    <t>7175   (619/1)</t>
  </si>
  <si>
    <t>174.93</t>
  </si>
  <si>
    <t>WL7175</t>
  </si>
  <si>
    <t>TOYOTA HIACE, HILUX 2.4D/TD 89-</t>
  </si>
  <si>
    <t>620 = WL7176</t>
  </si>
  <si>
    <t>7176   (620)</t>
  </si>
  <si>
    <t>WL7176</t>
  </si>
  <si>
    <t>CITROEN/PEUGEOT J5 1.9D, 2.5D/TD 90-, BOXER 2.4D/TD 94- /аналог OC2/</t>
  </si>
  <si>
    <t>621 = WL7177</t>
  </si>
  <si>
    <t>7177   (621)</t>
  </si>
  <si>
    <t>61.79</t>
  </si>
  <si>
    <t>WL7177</t>
  </si>
  <si>
    <t>622 = WL7178</t>
  </si>
  <si>
    <t>7178   (622)</t>
  </si>
  <si>
    <t>WL7178</t>
  </si>
  <si>
    <t>MAZDA 626 2.0D 87-96, OPEL FRONTERA 2.8TD 95-98</t>
  </si>
  <si>
    <t>625 = WL7183</t>
  </si>
  <si>
    <t>7183   (625)</t>
  </si>
  <si>
    <t>94.06</t>
  </si>
  <si>
    <t>WL7183</t>
  </si>
  <si>
    <t>OPEL OMEGA A 2.3TD 88-94, FRONTERA 2.3TD 92-98</t>
  </si>
  <si>
    <t>626 = 92019E</t>
  </si>
  <si>
    <t>92019E   (626)</t>
  </si>
  <si>
    <t>175.11</t>
  </si>
  <si>
    <t>92019E</t>
  </si>
  <si>
    <t>MAN trucks &amp; buses 87-</t>
  </si>
  <si>
    <t>626/1 = 51095E</t>
  </si>
  <si>
    <t>51095E   (626/1)</t>
  </si>
  <si>
    <t>402.47</t>
  </si>
  <si>
    <t>51095E</t>
  </si>
  <si>
    <t>DAF/RENAULT - trucks</t>
  </si>
  <si>
    <t>626/2 = 92011E</t>
  </si>
  <si>
    <t>92011E   (626/2)</t>
  </si>
  <si>
    <t>410.91</t>
  </si>
  <si>
    <t>92011E</t>
  </si>
  <si>
    <t>DAF 95XF, 85CF  97-02</t>
  </si>
  <si>
    <t>626/6 = 92095E</t>
  </si>
  <si>
    <t>92095E   (626/6)</t>
  </si>
  <si>
    <t>92095E</t>
  </si>
  <si>
    <t>Daf 45LF, 55LF, 65CF| Iveco Capena, Iveco Eurocargo</t>
  </si>
  <si>
    <t>628 = WL7188</t>
  </si>
  <si>
    <t>7188   (628)</t>
  </si>
  <si>
    <t>88.01</t>
  </si>
  <si>
    <t>WL7188</t>
  </si>
  <si>
    <t>JEEP CHEROKEE,WRANGLER 2.5, 4.0 91-</t>
  </si>
  <si>
    <t>629 = WL7074</t>
  </si>
  <si>
    <t>7074   (629)</t>
  </si>
  <si>
    <t>67.29</t>
  </si>
  <si>
    <t>WL7074</t>
  </si>
  <si>
    <t>FORD SIERRA 1.6,1.8 -93, ESCORT 89- /аналог OC52, h=85mm/</t>
  </si>
  <si>
    <t>629/1 = WL7459</t>
  </si>
  <si>
    <t>7459   (629/1)</t>
  </si>
  <si>
    <t>WL7459</t>
  </si>
  <si>
    <t>Ford C-Max, C-Max II, Grand C-Max, Fiesta VI 08-, LONG LIFE /аналог OC606, h=76.5mm/</t>
  </si>
  <si>
    <t>629/2 = WL7510</t>
  </si>
  <si>
    <t>7510   (629/2)</t>
  </si>
  <si>
    <t>WL7510</t>
  </si>
  <si>
    <t>Ford B-Max, C-Max/Grand C-Max, Ecosport, Fiesta VI, Focus III, Galaxy II, Mondeo IV, S-Max, Tourneo Connect II, Transit Connect II</t>
  </si>
  <si>
    <t>629T = WL7074-12</t>
  </si>
  <si>
    <t>7074-12   (629T)</t>
  </si>
  <si>
    <t>53.91</t>
  </si>
  <si>
    <t>WL7074-12</t>
  </si>
  <si>
    <t>631 = 51660</t>
  </si>
  <si>
    <t>51660   (631)</t>
  </si>
  <si>
    <t>259.82</t>
  </si>
  <si>
    <t>51660E</t>
  </si>
  <si>
    <t>VOLVO - trucks (BY PASS) Ikarus| Leyland| Renault (RVI), Volvo Bus| Case-IH, John Deere</t>
  </si>
  <si>
    <t>632/4 = WL7409</t>
  </si>
  <si>
    <t>7409   (632/4)</t>
  </si>
  <si>
    <t>WL7409</t>
  </si>
  <si>
    <t>CARNIVAL II/TERRACAN 2.9CRDi  01-</t>
  </si>
  <si>
    <t>632/6 = WL7437</t>
  </si>
  <si>
    <t>7437   (632/6)</t>
  </si>
  <si>
    <t>WL7437</t>
  </si>
  <si>
    <t>Kia Carens III, Cee'd, Sportage II,  Hyundai Santa Fe 2.2CRDI 06-</t>
  </si>
  <si>
    <t>632/7 = WL7450</t>
  </si>
  <si>
    <t>7450   (632/7)</t>
  </si>
  <si>
    <t>WL7450</t>
  </si>
  <si>
    <t>KIA Sorento 2.5 CRDI 02- (ОЕ 263104A000, 263104A010)</t>
  </si>
  <si>
    <t>634 = WL7197</t>
  </si>
  <si>
    <t>7197   (634)</t>
  </si>
  <si>
    <t>WL7197</t>
  </si>
  <si>
    <t>ISUZU Trooper 2.8 TD 10/87-12/91.OPEL Campo 2.5 D 08/91-06/94</t>
  </si>
  <si>
    <t>636 = WL7199</t>
  </si>
  <si>
    <t>7199   (636)</t>
  </si>
  <si>
    <t>220.03</t>
  </si>
  <si>
    <t>WL7199</t>
  </si>
  <si>
    <t>636/1 = WL7307</t>
  </si>
  <si>
    <t>7307   (636/1)</t>
  </si>
  <si>
    <t>WL7307</t>
  </si>
  <si>
    <t>ISUZU CAMPO 2.2D 86-96, 2.5D 83-91</t>
  </si>
  <si>
    <t>640/1 = WL7008</t>
  </si>
  <si>
    <t>7008   (640/1)</t>
  </si>
  <si>
    <t>75.00</t>
  </si>
  <si>
    <t>WL7008</t>
  </si>
  <si>
    <t>640/2 = WL7009</t>
  </si>
  <si>
    <t>7009   (640/2)</t>
  </si>
  <si>
    <t>82.14</t>
  </si>
  <si>
    <t>WL7009</t>
  </si>
  <si>
    <t>MB W202/W203/W210/W211/W220 бензин 96- /аналог OX153/7DOEKO/</t>
  </si>
  <si>
    <t>640/3 = WL7304</t>
  </si>
  <si>
    <t>7304   (640/3)</t>
  </si>
  <si>
    <t>WL7304</t>
  </si>
  <si>
    <t>MB W202 (C180-C280) -00, SPRINTER,VITO бензин 95-</t>
  </si>
  <si>
    <t>640/4 = WL7227</t>
  </si>
  <si>
    <t>7227   (640/4)</t>
  </si>
  <si>
    <t>WL7227</t>
  </si>
  <si>
    <t>640/5 = WL7240</t>
  </si>
  <si>
    <t>7240   (640/5)</t>
  </si>
  <si>
    <t>WL7240</t>
  </si>
  <si>
    <t>MB W202/W203/W210 (220CDI) 97-, VITO 108CDI-112CDI 99- /аналог OX153D3OEKO/</t>
  </si>
  <si>
    <t>640/6 = WL7288</t>
  </si>
  <si>
    <t>7288   (640/6)</t>
  </si>
  <si>
    <t>78.48</t>
  </si>
  <si>
    <t>WL7288</t>
  </si>
  <si>
    <t>MB W168 (A160 CDI, A170 CDI) 98-, VANEO 1.7 CDI 02-</t>
  </si>
  <si>
    <t>640/7 = WL7289</t>
  </si>
  <si>
    <t>7289   (640/7)</t>
  </si>
  <si>
    <t>WL7289</t>
  </si>
  <si>
    <t>640/8 = WL7322</t>
  </si>
  <si>
    <t>7322   (640/8)</t>
  </si>
  <si>
    <t>93.88</t>
  </si>
  <si>
    <t>WL7322</t>
  </si>
  <si>
    <t>MB W211 (E200CDI), W203 (C180 KOMPR, C200 KOMPR) 02-</t>
  </si>
  <si>
    <t>641 = WL7203</t>
  </si>
  <si>
    <t>7203   (641)</t>
  </si>
  <si>
    <t>67.47</t>
  </si>
  <si>
    <t>WL7203</t>
  </si>
  <si>
    <t>641/1 = WL7467</t>
  </si>
  <si>
    <t>7467   (641/1)</t>
  </si>
  <si>
    <t>166.31</t>
  </si>
  <si>
    <t>WL7467</t>
  </si>
  <si>
    <t>Audi, Seat, Skoda, Volkswagen 1.2TSI, 1.4TSI</t>
  </si>
  <si>
    <t>641/2 = WL7494</t>
  </si>
  <si>
    <t>7494   (641/2)</t>
  </si>
  <si>
    <t>WL7494</t>
  </si>
  <si>
    <t>Audi, Seat, Skoda, Volkswagen 1.2TSI, 1.4TSI 07-</t>
  </si>
  <si>
    <t>642/1 = WL7237</t>
  </si>
  <si>
    <t>7237   (642/1)</t>
  </si>
  <si>
    <t>WL7237</t>
  </si>
  <si>
    <t>RENAULT Espace III 2.2/12V/TD 11/96-10/00/Laguna 2.2/DT 03/96-03/01/Master I 2.1/DT 08/80-07/98/Safrane I 2.1DT 11/93-07/96/ II 2.2DT 07/96-12/00</t>
  </si>
  <si>
    <t>642/2 = WL7204</t>
  </si>
  <si>
    <t>7204   (642/2)</t>
  </si>
  <si>
    <t>WL7204</t>
  </si>
  <si>
    <t>RENAULT CLIO, TWINGO, KANGOO 1.2i 96-, FIAT PUNTO 1.2i 99- h=65mm</t>
  </si>
  <si>
    <t>643/3 = WL7254</t>
  </si>
  <si>
    <t>7254   (643/3)</t>
  </si>
  <si>
    <t>WL7254</t>
  </si>
  <si>
    <t>RENAULT 1.1-2.0 бензин 86-, 1.9 diesel eng. 96-</t>
  </si>
  <si>
    <t>643/4 = WL7427</t>
  </si>
  <si>
    <t>7427   (643/4)</t>
  </si>
  <si>
    <t>WL7427</t>
  </si>
  <si>
    <t>CLIO/MEGANE 1.9dCi , Duster 1.5dCi 10- , (OC471)</t>
  </si>
  <si>
    <t>644 = WL7206</t>
  </si>
  <si>
    <t>7206   (644)</t>
  </si>
  <si>
    <t>100.85</t>
  </si>
  <si>
    <t>WL7206</t>
  </si>
  <si>
    <t>JEEP CHEROKEE/GR. CHEROKEE 2.5TD -99</t>
  </si>
  <si>
    <t>644/2 = WL7485</t>
  </si>
  <si>
    <t>7485   (644/2)</t>
  </si>
  <si>
    <t>WL7485</t>
  </si>
  <si>
    <t>Dodge Avenger, Caliber, Journey| Jeep Patriot| Suzuki Grand Vitara</t>
  </si>
  <si>
    <t>646 = 92023E</t>
  </si>
  <si>
    <t>92023E   (646)</t>
  </si>
  <si>
    <t>92023E</t>
  </si>
  <si>
    <t>MAN trucks 95-</t>
  </si>
  <si>
    <t>646/1 = 92026E</t>
  </si>
  <si>
    <t>92026E   (646/1)</t>
  </si>
  <si>
    <t>92026E</t>
  </si>
  <si>
    <t>646/2 = 92093E</t>
  </si>
  <si>
    <t>92093E   (646/2)</t>
  </si>
  <si>
    <t>236.90</t>
  </si>
  <si>
    <t>92093E</t>
  </si>
  <si>
    <t>647 = 92097E</t>
  </si>
  <si>
    <t>92097E   (647)</t>
  </si>
  <si>
    <t>80.86</t>
  </si>
  <si>
    <t>92097E</t>
  </si>
  <si>
    <t>Ursus C-330, C-335, C-360  /OC26/</t>
  </si>
  <si>
    <t>648 = WL7232</t>
  </si>
  <si>
    <t>7232   (648)</t>
  </si>
  <si>
    <t>71.51</t>
  </si>
  <si>
    <t>WL7232</t>
  </si>
  <si>
    <t>OPEL CORSA 1.0i, 1.2i 96-, ASTRA 1.2i 00-, COMBO 1.7DTI 01-</t>
  </si>
  <si>
    <t>648/1 = WL7228</t>
  </si>
  <si>
    <t>7228   (648/1)</t>
  </si>
  <si>
    <t>WL7228</t>
  </si>
  <si>
    <t>648/2 = WL7241</t>
  </si>
  <si>
    <t>7241   (648/2)</t>
  </si>
  <si>
    <t>WL7241</t>
  </si>
  <si>
    <t>648/3 = WL7295</t>
  </si>
  <si>
    <t>7295   (648/3)</t>
  </si>
  <si>
    <t>WL7295</t>
  </si>
  <si>
    <t>648/4 = WL7294</t>
  </si>
  <si>
    <t>7294   (648/4)</t>
  </si>
  <si>
    <t>WL7294</t>
  </si>
  <si>
    <t>648/5 = WL7402</t>
  </si>
  <si>
    <t>7402   (648/5)</t>
  </si>
  <si>
    <t>WL7402</t>
  </si>
  <si>
    <t>OPEL Astra H/ Zafira B/ Vectra C 1, 9CDTI 04/ 04-&gt;</t>
  </si>
  <si>
    <t>648/6 = WL7422</t>
  </si>
  <si>
    <t>7422   (648/6)</t>
  </si>
  <si>
    <t>109.83</t>
  </si>
  <si>
    <t>WL7422</t>
  </si>
  <si>
    <t>ASTRA/VECTRA Z18XER</t>
  </si>
  <si>
    <t>649 = WL7220</t>
  </si>
  <si>
    <t>7220   (649)</t>
  </si>
  <si>
    <t>94.43</t>
  </si>
  <si>
    <t>WL7220</t>
  </si>
  <si>
    <t>649/1 = WL7256</t>
  </si>
  <si>
    <t>7256   (649/1)</t>
  </si>
  <si>
    <t>135.50</t>
  </si>
  <si>
    <t>WL7256</t>
  </si>
  <si>
    <t>BMW 325TD/TDS 91-99, 525TD/TDS 91-95 (M51 - eng) (пластик)</t>
  </si>
  <si>
    <t>649/2 = WL7236</t>
  </si>
  <si>
    <t>7236   (649/2)</t>
  </si>
  <si>
    <t>WL7236</t>
  </si>
  <si>
    <t>BMW 320D, 520D (M47D20 -engines) 98-</t>
  </si>
  <si>
    <t>649/3 = WL7234</t>
  </si>
  <si>
    <t>7234   (649/3)</t>
  </si>
  <si>
    <t>133.49</t>
  </si>
  <si>
    <t>WL7234</t>
  </si>
  <si>
    <t>649/4 = WL7221</t>
  </si>
  <si>
    <t>7221   (649/4)</t>
  </si>
  <si>
    <t>WL7221</t>
  </si>
  <si>
    <t>BMW 316i 95-02, 318i 95-99, 518i 95-97 (M43 - engine)</t>
  </si>
  <si>
    <t>649/5 = WL7283</t>
  </si>
  <si>
    <t>7283   (649/5)</t>
  </si>
  <si>
    <t>WL7283</t>
  </si>
  <si>
    <t>649/6 = WL7403</t>
  </si>
  <si>
    <t>7403   (649/6)</t>
  </si>
  <si>
    <t>102.86</t>
  </si>
  <si>
    <t>WL7403</t>
  </si>
  <si>
    <t>BMW E87/ E46/ E90/ E83 X3 1, 6i-2, 0i mot.N42/ N45 06/ 01-</t>
  </si>
  <si>
    <t>649/7 = WL7303</t>
  </si>
  <si>
    <t>7303   (649/7)</t>
  </si>
  <si>
    <t>128.72</t>
  </si>
  <si>
    <t>WL7303</t>
  </si>
  <si>
    <t>BMW E87 118D/120D/E46/E90/E91 318D/320D/TD/E60/E61 520D/E65/E66 745D/E83 2.0D</t>
  </si>
  <si>
    <t>649/8 = WL7406</t>
  </si>
  <si>
    <t>7406   (649/8)</t>
  </si>
  <si>
    <t>WL7406</t>
  </si>
  <si>
    <t>BMW E46/ E90/ E60/ 61/ E65/ 66/ E53 X5/ E83 X3 3, 0D/ TD 02/ 03-</t>
  </si>
  <si>
    <t>649/9 = WL7423</t>
  </si>
  <si>
    <t>7423   (649/9)</t>
  </si>
  <si>
    <t>111.85</t>
  </si>
  <si>
    <t>WL7423</t>
  </si>
  <si>
    <t>BMW E60/ E90/ E87 2, 3i-3, 5i mot.N54BMW E60/ 61/ E90/ E87 2, 3i-3, 0i mot.N52B20/ B25/ B30 07/ 05-</t>
  </si>
  <si>
    <t>650 = WL7226</t>
  </si>
  <si>
    <t>7226   (650)</t>
  </si>
  <si>
    <t>WL7226</t>
  </si>
  <si>
    <t>650/1 = WL7296</t>
  </si>
  <si>
    <t>7296   (650/1)</t>
  </si>
  <si>
    <t>WL7296</t>
  </si>
  <si>
    <t>650/2 = WL7410</t>
  </si>
  <si>
    <t>7410   (650/2)</t>
  </si>
  <si>
    <t>128.35</t>
  </si>
  <si>
    <t>WL7410</t>
  </si>
  <si>
    <t>A3/G5/PASSAT 1.4-1.6 FSI</t>
  </si>
  <si>
    <t>650/3 = WL7439</t>
  </si>
  <si>
    <t>7439   (650/3)</t>
  </si>
  <si>
    <t>176.94</t>
  </si>
  <si>
    <t>WL7439</t>
  </si>
  <si>
    <t>Audi A4 II,A5,A6 II, A8 II,Q7 2.7TDI,3.0TDI,4.0TDI,4.2TDI| VW Touareg 3.0TDI (ОЕ 057115561L)</t>
  </si>
  <si>
    <t>650/6 = WL7486</t>
  </si>
  <si>
    <t>7486   (650/6)</t>
  </si>
  <si>
    <t>190.87</t>
  </si>
  <si>
    <t>WL7486</t>
  </si>
  <si>
    <t>Audi A4 II,A5,A6 II, A8 II,Q7 2.7TDI, 3.0TDI, 4.0TDI, 4.2TDI</t>
  </si>
  <si>
    <t>651 = 92041E</t>
  </si>
  <si>
    <t>92041E   (651)</t>
  </si>
  <si>
    <t>92041E</t>
  </si>
  <si>
    <t>MB trucks &amp; buses (ASTROS, TRAVEGO) 96-</t>
  </si>
  <si>
    <t>651/1 = 92040E</t>
  </si>
  <si>
    <t>92040E   (651/1)</t>
  </si>
  <si>
    <t>115.33</t>
  </si>
  <si>
    <t>92040E</t>
  </si>
  <si>
    <t>651/2 = 92038E</t>
  </si>
  <si>
    <t>92038E   (651/2)</t>
  </si>
  <si>
    <t>92038E</t>
  </si>
  <si>
    <t>653 = WL7465</t>
  </si>
  <si>
    <t>7465   (653)</t>
  </si>
  <si>
    <t>51.34</t>
  </si>
  <si>
    <t>WL7465</t>
  </si>
  <si>
    <t>Saab 9-3 2.8 V6 Turbo (250HP)</t>
  </si>
  <si>
    <t>655 = WL7239</t>
  </si>
  <si>
    <t>7239   (655)</t>
  </si>
  <si>
    <t>65.83</t>
  </si>
  <si>
    <t>WL7239</t>
  </si>
  <si>
    <t>SMART 0.6i 98-</t>
  </si>
  <si>
    <t>662 = WL7261</t>
  </si>
  <si>
    <t>7261   (662)</t>
  </si>
  <si>
    <t>WL7261</t>
  </si>
  <si>
    <t>665 = WL7292</t>
  </si>
  <si>
    <t>7292   (665)</t>
  </si>
  <si>
    <t>WL7292</t>
  </si>
  <si>
    <t>665/1 = WL7286</t>
  </si>
  <si>
    <t>7286   (665/1)</t>
  </si>
  <si>
    <t>WL7286</t>
  </si>
  <si>
    <t>665/2 = WL7407</t>
  </si>
  <si>
    <t>7407   (665/2)</t>
  </si>
  <si>
    <t>144.67</t>
  </si>
  <si>
    <t>WL7407</t>
  </si>
  <si>
    <t>MAZDA 6 2.3 02-&gt;</t>
  </si>
  <si>
    <t>666 = WL7293</t>
  </si>
  <si>
    <t>7293   (666)</t>
  </si>
  <si>
    <t>WL7293</t>
  </si>
  <si>
    <t>RENAULT CLIO, TWINGO, KANGOO 1.2i 01-</t>
  </si>
  <si>
    <t>666/1 = WL7306</t>
  </si>
  <si>
    <t>7306   (666/1)</t>
  </si>
  <si>
    <t>148.70</t>
  </si>
  <si>
    <t>WL7306</t>
  </si>
  <si>
    <t>666/2 = WL7424</t>
  </si>
  <si>
    <t>7424   (666/2)</t>
  </si>
  <si>
    <t>WL7424</t>
  </si>
  <si>
    <t>Opel Vivaro 2.0CDTi| Renault Laguna II, Megane II, Trafic II 2.0dCi 16V 8/05-&gt;</t>
  </si>
  <si>
    <t>667 = WL7299</t>
  </si>
  <si>
    <t>7299   (667)</t>
  </si>
  <si>
    <t>WL7299</t>
  </si>
  <si>
    <t xml:space="preserve">CITROEN С2, С3, Berlingo, PEUGEOT 206, 306, 307 Partner 1.1i, 1.4i, 1.6i 93-00, 02- </t>
  </si>
  <si>
    <t>667/1 = WL7305</t>
  </si>
  <si>
    <t>7305   (667/1)</t>
  </si>
  <si>
    <t>121.93</t>
  </si>
  <si>
    <t>WL7305</t>
  </si>
  <si>
    <t>668 = 92017E</t>
  </si>
  <si>
    <t>92017E   (668)</t>
  </si>
  <si>
    <t>377.53</t>
  </si>
  <si>
    <t>92017E</t>
  </si>
  <si>
    <t>КПП Scania 2/ 3/ 4/ P/ R Series</t>
  </si>
  <si>
    <t>669/1 = WL7418</t>
  </si>
  <si>
    <t>7418   (669/1)</t>
  </si>
  <si>
    <t>WL7418</t>
  </si>
  <si>
    <t>PATROL/ TERRANO 4415218/ 15209-00QAC/ 7701057828</t>
  </si>
  <si>
    <t>670 = WL7408</t>
  </si>
  <si>
    <t>7408   (670)</t>
  </si>
  <si>
    <t>WL7408</t>
  </si>
  <si>
    <t>OPEL Astra H/ Agila/ Meriva/ Corsa D 1, 3CDTI 09/ 03-&gt; 73500049/ 1651185E00</t>
  </si>
  <si>
    <t>671 = WL7318</t>
  </si>
  <si>
    <t>7318   (671)</t>
  </si>
  <si>
    <t>81.04</t>
  </si>
  <si>
    <t>WL7318</t>
  </si>
  <si>
    <t>671/3 = WL7504</t>
  </si>
  <si>
    <t xml:space="preserve">7504   (671/3) !!заміна для 7404   (671/1) </t>
  </si>
  <si>
    <t>53.17</t>
  </si>
  <si>
    <t>WL7504</t>
  </si>
  <si>
    <t>Audi| Seat| Skoda| VW 2.0FSI 5/03-&gt;</t>
  </si>
  <si>
    <t>671/4 = WL7505</t>
  </si>
  <si>
    <t>7505   (671/4)</t>
  </si>
  <si>
    <t>74.63</t>
  </si>
  <si>
    <t>WL7505</t>
  </si>
  <si>
    <t>Audi A4 II,A5,A6 II, A8 II 2.4, 2.8FSI, 3.2FSI</t>
  </si>
  <si>
    <t>672/1 = WL7449</t>
  </si>
  <si>
    <t>7449   (672/1)</t>
  </si>
  <si>
    <t>176.21</t>
  </si>
  <si>
    <t>WL7449</t>
  </si>
  <si>
    <t>BMW 545i (E60/E61), 645Ci (E63/E64), 735i, 745i (E65/E66), X5 (E53) 4.4i (ОЕ 11427511161, 11427506677) /L999/</t>
  </si>
  <si>
    <t>673 = WL7413</t>
  </si>
  <si>
    <t>7413   (673)</t>
  </si>
  <si>
    <t>WL7413</t>
  </si>
  <si>
    <t>Citroen/ Peugeot 206/ 307/ 407/ Volvo S40 1, 4…2, 0L &amp; Diesel 96-&gt;</t>
  </si>
  <si>
    <t>674 = WL7412</t>
  </si>
  <si>
    <t>7412   (674)</t>
  </si>
  <si>
    <t>WL7412</t>
  </si>
  <si>
    <t>HYUNDAI Tucson, Santa Fe 2.0 CRDI  03-</t>
  </si>
  <si>
    <t>674/2 = WL7442</t>
  </si>
  <si>
    <t>7442   (674/2)</t>
  </si>
  <si>
    <t>WL7442</t>
  </si>
  <si>
    <t>HYUNDAI/KIA 1.1CRDI - 1.6CRDI 05-</t>
  </si>
  <si>
    <t>674/4 = WL7462</t>
  </si>
  <si>
    <t>7462   (674/4)</t>
  </si>
  <si>
    <t>WL7462</t>
  </si>
  <si>
    <t>Hyundai Santa Fe 2.2CRDI 11/05--&gt;, Sonata, Tucson</t>
  </si>
  <si>
    <t>674/5 = WL7477</t>
  </si>
  <si>
    <t>7477   (674/5)</t>
  </si>
  <si>
    <t>87.46</t>
  </si>
  <si>
    <t>WL7477</t>
  </si>
  <si>
    <t>Hyundai i20, i30| Kia Soul, Venga 1.4CRDI, 1.6CRDI 3/08-</t>
  </si>
  <si>
    <t>674/6 = WL7478</t>
  </si>
  <si>
    <t>7478   (674/6)</t>
  </si>
  <si>
    <t>137.52</t>
  </si>
  <si>
    <t>WL7478</t>
  </si>
  <si>
    <t>Hyundai ix35 2.0CRDI| Kia Sorento 2.2CRDI, Sportage 2.0CRDI  10-</t>
  </si>
  <si>
    <t>676/2 = 92129E</t>
  </si>
  <si>
    <t>92129E   (676/2)</t>
  </si>
  <si>
    <t>404.49</t>
  </si>
  <si>
    <t>92129E</t>
  </si>
  <si>
    <t>DAF CF85, XF105</t>
  </si>
  <si>
    <t>677/1 = WL7416</t>
  </si>
  <si>
    <t>7416   (677/1)</t>
  </si>
  <si>
    <t>WL7416</t>
  </si>
  <si>
    <t>677/4 = WL7470</t>
  </si>
  <si>
    <t>7470   (677/4)</t>
  </si>
  <si>
    <t>WL7470</t>
  </si>
  <si>
    <t>680 = 92158E</t>
  </si>
  <si>
    <t>92158E   (680)</t>
  </si>
  <si>
    <t>181.89</t>
  </si>
  <si>
    <t>92158E</t>
  </si>
  <si>
    <t>TATA motors ETALON EURO-II = MICO(india) F002h20032</t>
  </si>
  <si>
    <t>682 = WL7429</t>
  </si>
  <si>
    <t>7429   (682)</t>
  </si>
  <si>
    <t>WL7429</t>
  </si>
  <si>
    <t>Fiat, Opel, Suzuki 1.3JTD/CDTI (UFI housing)</t>
  </si>
  <si>
    <t>682/2 = WL7464</t>
  </si>
  <si>
    <t>7464   (682/2)</t>
  </si>
  <si>
    <t>163.92</t>
  </si>
  <si>
    <t>WL7464</t>
  </si>
  <si>
    <t>Alfa Romeo 159 1.9-2.0JTD  05-11, Fiat Doblo,Punto (GR , EVO), Qubo 1.3-1.9D, 08-&gt; , OPEL Astra, Combo 1.3-1.6 CDTI  12-&gt;</t>
  </si>
  <si>
    <t>682/3 = WL7479</t>
  </si>
  <si>
    <t>7479   (682/3)</t>
  </si>
  <si>
    <t>185.92</t>
  </si>
  <si>
    <t>WL7479</t>
  </si>
  <si>
    <t xml:space="preserve"> Fiat| Lancia 1.6JTDM, 2.0JTDM  Giulietta (New), Mito| Fiat Doblo II\n</t>
  </si>
  <si>
    <t>685 = WL7447</t>
  </si>
  <si>
    <t>7447   (685)</t>
  </si>
  <si>
    <t>108.00</t>
  </si>
  <si>
    <t>WL7447</t>
  </si>
  <si>
    <t>Toyota Auris 2.2D-4D, Avensis 2.2D-4D (sil. 2AD-FHV, 2AD-FTV),  (ОЕ 0415238010, 041520R010)  /OX413D1ECO/</t>
  </si>
  <si>
    <t>685/1 = WL7453</t>
  </si>
  <si>
    <t>7453   (685/1)</t>
  </si>
  <si>
    <t>WL7453</t>
  </si>
  <si>
    <t>Lexus IS 250| Toyota Camry 3.5i V6 (sil. 2GR) (ОЕ 0415231090, 04152YZZA1) /OX414D1Eco/</t>
  </si>
  <si>
    <t>685/2 = WL7472</t>
  </si>
  <si>
    <t>7472   (685/2)</t>
  </si>
  <si>
    <t>73.16</t>
  </si>
  <si>
    <t>WL7472</t>
  </si>
  <si>
    <t>Toyota Auris 1.6i, Avensis 1.6i, 1.8i, Verso 1.6i, 1.8i (sil. 1ZR, 2ZR)</t>
  </si>
  <si>
    <t>685/3 = WL7473</t>
  </si>
  <si>
    <t>7473   (685/3)</t>
  </si>
  <si>
    <t>WL7473</t>
  </si>
  <si>
    <t>Toyota Auris, Iq, Yaris II 1.33 VVT-I (sil. 1KR)</t>
  </si>
  <si>
    <t>685/5 = WL7481</t>
  </si>
  <si>
    <t>7481   (685/5)</t>
  </si>
  <si>
    <t>WL7481</t>
  </si>
  <si>
    <t>Toyota Yaris 1.4D  06-11-&gt;  ,Verso S 1.4D, 10-  Urban Cruiser 1.4D-4D 09-</t>
  </si>
  <si>
    <t>688 = WL7476</t>
  </si>
  <si>
    <t>7476   (688)</t>
  </si>
  <si>
    <t>47.31</t>
  </si>
  <si>
    <t>WL7476</t>
  </si>
  <si>
    <t>Audi| Seat | Skoda| Volkswagen 1.6TDI, 2.0TDI</t>
  </si>
  <si>
    <t>688/1 = WL7489</t>
  </si>
  <si>
    <t>7489   (688/1)</t>
  </si>
  <si>
    <t>WL7489</t>
  </si>
  <si>
    <t>Seat | Skoda| Volkswagen 1.2TDI, 10-</t>
  </si>
  <si>
    <t>688/2 = WL7507</t>
  </si>
  <si>
    <t>7507   (688/2)</t>
  </si>
  <si>
    <t>111.67</t>
  </si>
  <si>
    <t>WL7507</t>
  </si>
  <si>
    <t>Audi| Seat | Skoda| Volkswagen 1.8TFSI(180PS), 09-</t>
  </si>
  <si>
    <t>688/3 = WL7514</t>
  </si>
  <si>
    <t>7514   (688/3)</t>
  </si>
  <si>
    <t>WL7514</t>
  </si>
  <si>
    <t>Audi A3 III (8V), A4 (B8/8K), A5 (8T), A6 (4G2/4G5), Q5 (8R)| Seat Leon III| Skoda Octavia III, VW Golf VII, Golf Sportsvan, Scirocco III</t>
  </si>
  <si>
    <t>745 = 51417</t>
  </si>
  <si>
    <t>51417   (745)</t>
  </si>
  <si>
    <t>51417E</t>
  </si>
  <si>
    <t>RENAULT - trucks (MANAGER, MAGNUM) 91- (тонкой очистки)</t>
  </si>
  <si>
    <t>745/1 = 57117</t>
  </si>
  <si>
    <t>57117   (745/1)</t>
  </si>
  <si>
    <t>322.90</t>
  </si>
  <si>
    <t>57117E</t>
  </si>
  <si>
    <t>Renault Kerax 01-&gt;, Magnum 96-&gt;, Premium 00-&gt;</t>
  </si>
  <si>
    <t>745/2 = 57017</t>
  </si>
  <si>
    <t>57017   (745/2)</t>
  </si>
  <si>
    <t>381.57</t>
  </si>
  <si>
    <t>57017E</t>
  </si>
  <si>
    <t>Daf CF75, CF85, XF95, 95XF  99-06</t>
  </si>
  <si>
    <t>751 = 24070</t>
  </si>
  <si>
    <t>24070   (751)</t>
  </si>
  <si>
    <t>189.23</t>
  </si>
  <si>
    <t>24070E</t>
  </si>
  <si>
    <t>DAF 95XF, Iveco Eurostar</t>
  </si>
  <si>
    <t>751/1 = 24071</t>
  </si>
  <si>
    <t>24071   (751/1)</t>
  </si>
  <si>
    <t>24071E</t>
  </si>
  <si>
    <t>800 = 95117E</t>
  </si>
  <si>
    <t>95117E   (800)</t>
  </si>
  <si>
    <t>31.72</t>
  </si>
  <si>
    <t>95117E</t>
  </si>
  <si>
    <t>Kamaz (opakowanie zbiorcze) (KX51)</t>
  </si>
  <si>
    <t>802 = 95119E</t>
  </si>
  <si>
    <t>95119E   (802)</t>
  </si>
  <si>
    <t>42.54</t>
  </si>
  <si>
    <t>95119E</t>
  </si>
  <si>
    <t>"Iveco| Scania| Skoda Tatra| Volvo| Liaz| Zetor - dok?adnego oczyszczania (opakowanie zbiorcze)"</t>
  </si>
  <si>
    <t>804 = 95121E</t>
  </si>
  <si>
    <t>95121E   (804)</t>
  </si>
  <si>
    <t>95121E</t>
  </si>
  <si>
    <t>Autosan| Jelcz| Star| Steyer| Ursus| Massey Ferguson - ci?gniki filcowy  wst?pnego oczyszczania (opakowanie zbiorcze)</t>
  </si>
  <si>
    <t>805 = 95123E</t>
  </si>
  <si>
    <t>95123E   (805)</t>
  </si>
  <si>
    <t>32.27</t>
  </si>
  <si>
    <t>95123E</t>
  </si>
  <si>
    <t>Ikarus, Iveco</t>
  </si>
  <si>
    <t>808 = 33112E</t>
  </si>
  <si>
    <t>33112E   (808)</t>
  </si>
  <si>
    <t>49.69</t>
  </si>
  <si>
    <t>33112E</t>
  </si>
  <si>
    <t>MAN trucks &amp; buses</t>
  </si>
  <si>
    <t>809 = 33112FE</t>
  </si>
  <si>
    <t>33112FE   (809)</t>
  </si>
  <si>
    <t>33112FE</t>
  </si>
  <si>
    <t>MAN/SCANIA/VOLVO - trucks (primary)</t>
  </si>
  <si>
    <t>811 = 95127E</t>
  </si>
  <si>
    <t>95127E   (811)</t>
  </si>
  <si>
    <t>45.84</t>
  </si>
  <si>
    <t>95127E</t>
  </si>
  <si>
    <t>"Zetor 5211, 5245, 7211, 7245| Ursus 1604, 1212, 1214"</t>
  </si>
  <si>
    <t>812 = 95128E</t>
  </si>
  <si>
    <t>95128E   (812)</t>
  </si>
  <si>
    <t>37.59</t>
  </si>
  <si>
    <t>95128E</t>
  </si>
  <si>
    <t>813/1 = 33167E</t>
  </si>
  <si>
    <t>33167E   (813/1)</t>
  </si>
  <si>
    <t>33167E</t>
  </si>
  <si>
    <t>MAN (buses) SG240H,SG242  85-94, (с/х и строительная техника)</t>
  </si>
  <si>
    <t>814 = WF8156</t>
  </si>
  <si>
    <t>8156   (814)</t>
  </si>
  <si>
    <t>70.59</t>
  </si>
  <si>
    <t>WF8156</t>
  </si>
  <si>
    <t>815/1 = WF8014</t>
  </si>
  <si>
    <t>8014   (815/1)</t>
  </si>
  <si>
    <t>WF8014</t>
  </si>
  <si>
    <t>815/2 = WF8254</t>
  </si>
  <si>
    <t>8254   (815/2)</t>
  </si>
  <si>
    <t>WF8254</t>
  </si>
  <si>
    <t>RENAULT MEGANE, LAGUNA, KANGOO 1.9D/DTI/DCI  97- (CAV-SYSTEM)</t>
  </si>
  <si>
    <t>815/3 = WF8300</t>
  </si>
  <si>
    <t>8300   (815/3)</t>
  </si>
  <si>
    <t>WF8300</t>
  </si>
  <si>
    <t>Opel Movano/ Vivaro / / Master II/ III 1.9-3.0dCi 01-</t>
  </si>
  <si>
    <t>815/4 = WF8301</t>
  </si>
  <si>
    <t>8301   (815/4)</t>
  </si>
  <si>
    <t>106.90</t>
  </si>
  <si>
    <t>WF8301</t>
  </si>
  <si>
    <t>OPEL Movano/ Vivaro/ / RENAULT Trafic/ Master II/ / Nissan Primastar/ Interstar 09/ 00-&gt; 1, 9/ 2, 5/ 3, 0L 7701207667/ 93160736/ 1640500QAB</t>
  </si>
  <si>
    <t>815/5 = WF8315</t>
  </si>
  <si>
    <t>8315   (815/5)</t>
  </si>
  <si>
    <t>WF8315</t>
  </si>
  <si>
    <t>PRIMASTAR/MASTER (KX183D)</t>
  </si>
  <si>
    <t>815/6 = WF8367</t>
  </si>
  <si>
    <t>8367   (815/6)</t>
  </si>
  <si>
    <t>WF8367</t>
  </si>
  <si>
    <t>Ford Focus C-Max 1.8TDCI, Focus II 1.8TDCi, Galaxy 1.8TDCi, S-Max 1.8TDCi</t>
  </si>
  <si>
    <t>816 = WF8015</t>
  </si>
  <si>
    <t>8015   (816)</t>
  </si>
  <si>
    <t>43.27</t>
  </si>
  <si>
    <t>WF8015</t>
  </si>
  <si>
    <t>PEUGEOT J5 2.5D/TD 81-, CITROEN C25 2.5D/TD 87-94 (BOSCH-SYSTEM)</t>
  </si>
  <si>
    <t>816/1 = WF8178</t>
  </si>
  <si>
    <t>8178   (816/1)</t>
  </si>
  <si>
    <t>61.24</t>
  </si>
  <si>
    <t>WF8178</t>
  </si>
  <si>
    <t>RENAULT LAGUNA 2.2D/DCI 94-, MASTER 2.5D 98-01, 2.8DTI 98-</t>
  </si>
  <si>
    <t>816/2 = WF8177</t>
  </si>
  <si>
    <t>8177   (816/2)</t>
  </si>
  <si>
    <t>WF8177</t>
  </si>
  <si>
    <t>816/3 = WF8195</t>
  </si>
  <si>
    <t>8195   (816/3)</t>
  </si>
  <si>
    <t>155.31</t>
  </si>
  <si>
    <t>WF8195</t>
  </si>
  <si>
    <t>816/4 = WF8256</t>
  </si>
  <si>
    <t>8256   (816/4)</t>
  </si>
  <si>
    <t>164.29</t>
  </si>
  <si>
    <t>WF8256</t>
  </si>
  <si>
    <t>816/5 = WF8321</t>
  </si>
  <si>
    <t>8321   (816/5)</t>
  </si>
  <si>
    <t>212.33</t>
  </si>
  <si>
    <t>WF8321</t>
  </si>
  <si>
    <t>CITROEN C4 / PEUGEOT 307, 407 1, 6-2, 0L 03г</t>
  </si>
  <si>
    <t>816/8 = WF8433</t>
  </si>
  <si>
    <t>8433   (816/8)</t>
  </si>
  <si>
    <t>220.77</t>
  </si>
  <si>
    <t>WF8433</t>
  </si>
  <si>
    <t>Citroen C4 II, C5 II, C8| Ford C-Max, C-Max II, Galaxy II, Kuga, Mondeo IV, S-Max| Peugeot Expert II, 308, 3008, 407, 5008, 807 2.0HDI</t>
  </si>
  <si>
    <t>818 = 95130E</t>
  </si>
  <si>
    <t>95130E   (818)</t>
  </si>
  <si>
    <t>95130E</t>
  </si>
  <si>
    <t>"Kraz| Maz"</t>
  </si>
  <si>
    <t>819 = 33166RE</t>
  </si>
  <si>
    <t>33166RE   (819)</t>
  </si>
  <si>
    <t>57.57</t>
  </si>
  <si>
    <t>33166RE</t>
  </si>
  <si>
    <t>FIAT DUCATO 2.5D/TD -94, PCA 1.9D/TD, 2.5D/TD 94- (CAV-SYSTEM)</t>
  </si>
  <si>
    <t>819 = WF8018</t>
  </si>
  <si>
    <t>8018   (819)</t>
  </si>
  <si>
    <t>WF8018</t>
  </si>
  <si>
    <t>820 = WF8125</t>
  </si>
  <si>
    <t>8125   (820)</t>
  </si>
  <si>
    <t>18.88</t>
  </si>
  <si>
    <t>WF8125</t>
  </si>
  <si>
    <t>MB W123 (240D,300D) -85, W124 (200D,250D,300D) -93 (PRIMARY)</t>
  </si>
  <si>
    <t>821 = WF8126</t>
  </si>
  <si>
    <t>8126   (821)</t>
  </si>
  <si>
    <t>19.80</t>
  </si>
  <si>
    <t>WF8126</t>
  </si>
  <si>
    <t>822 = WF8127</t>
  </si>
  <si>
    <t>8127   (822)</t>
  </si>
  <si>
    <t>19.25</t>
  </si>
  <si>
    <t>WF8127</t>
  </si>
  <si>
    <t>118x48mm  УНИВЕРСАЛЬНЫЙ-БЕНЗИН</t>
  </si>
  <si>
    <t>823 = 95133E</t>
  </si>
  <si>
    <t>95133E   (823)</t>
  </si>
  <si>
    <t>95133E</t>
  </si>
  <si>
    <t>MB - trucks diesel engines (патрон фильтра)</t>
  </si>
  <si>
    <t>825 = WF8027</t>
  </si>
  <si>
    <t>8027   (825)</t>
  </si>
  <si>
    <t>160.07</t>
  </si>
  <si>
    <t>WF8027</t>
  </si>
  <si>
    <t>FORD SIERRA 1.8, 2.0 -93, SCORPIO 2.0-2.9 -94, ESCORT 1.4, 1.6 -95\nGazel 2.3i (штуцер)</t>
  </si>
  <si>
    <t>827 = WF8029</t>
  </si>
  <si>
    <t>8029   (827)</t>
  </si>
  <si>
    <t>WF8029</t>
  </si>
  <si>
    <t>AUDI 80 1.6-2.8 91-96, A4,A6 1.8-2.7 97-,  A8  2.8, 3.7, 4.2 96-</t>
  </si>
  <si>
    <t>831 = WF8033</t>
  </si>
  <si>
    <t>8033   (831)</t>
  </si>
  <si>
    <t>WF8033</t>
  </si>
  <si>
    <t xml:space="preserve">CITROEN/PEUGEOT 1.3-2.0, OPEL 1.2-3.0 -98, Tavria/Slavuta 1.2i, 1.3i </t>
  </si>
  <si>
    <t>831/1 = WF8034</t>
  </si>
  <si>
    <t>8034   (831/1)</t>
  </si>
  <si>
    <t>81.41</t>
  </si>
  <si>
    <t>WF8034</t>
  </si>
  <si>
    <t>CITROEN BERLINGO, PEUGEOT PARTNER, RENAULT MEGANE 1.4i, 1.8i  96-</t>
  </si>
  <si>
    <t>832/1 = WF8168</t>
  </si>
  <si>
    <t>8168   (832/1)</t>
  </si>
  <si>
    <t>WF8168</t>
  </si>
  <si>
    <t>834 = WF8038</t>
  </si>
  <si>
    <t>8038   (834)</t>
  </si>
  <si>
    <t>167.41</t>
  </si>
  <si>
    <t>WF8038</t>
  </si>
  <si>
    <t>MB W201 (2.3E, 2.5E, 2.6E), W124 (E280-E500), W140 (S280-S600) -94</t>
  </si>
  <si>
    <t>835 = WF8039</t>
  </si>
  <si>
    <t>8039   (835)</t>
  </si>
  <si>
    <t>WF8039</t>
  </si>
  <si>
    <t>MB W123 (230E, 280E) -85, W124 (200-300 - series) -95  (штуцер)</t>
  </si>
  <si>
    <t>836 = WF8040</t>
  </si>
  <si>
    <t>8040   (836)</t>
  </si>
  <si>
    <t>127.43</t>
  </si>
  <si>
    <t>WF8040</t>
  </si>
  <si>
    <t>VW/AUDI 1.6 - 2.8  бензин 91- (аналог KL2, WK830/7)\nGazel 2.3i (на хомутах)</t>
  </si>
  <si>
    <t>836/1 = WF8041</t>
  </si>
  <si>
    <t>8041   (836/1)</t>
  </si>
  <si>
    <t>129.27</t>
  </si>
  <si>
    <t>WF8041</t>
  </si>
  <si>
    <t>VW/AUDI 1.6 - 3.0  бензин 97- (аналог WK730/1) Gazel 2.3i (на защелках)</t>
  </si>
  <si>
    <t>836/2 = WF8386</t>
  </si>
  <si>
    <t>8386   (836/2)</t>
  </si>
  <si>
    <t>333.71</t>
  </si>
  <si>
    <t>WF8386</t>
  </si>
  <si>
    <t>Audi A3 II| Skoda Octavia II| Seat Altea, Toledo III, Volkswagen Golf V, Jetta II (6,4bar)  /KL572/</t>
  </si>
  <si>
    <t>836/3 = WF8311</t>
  </si>
  <si>
    <t>8311   (836/3)</t>
  </si>
  <si>
    <t>320.33</t>
  </si>
  <si>
    <t>WF8311</t>
  </si>
  <si>
    <t>Audi A3 II| Seat Altea, Cordoba III, Ibiza IV, Toledo III| Skoda Fabia, Octavia II| VW Bora II, Caddy III, Golf V, Polo IV, Touran (zaw?r 3bar</t>
  </si>
  <si>
    <t>836/4 = WF8317</t>
  </si>
  <si>
    <t>8317   (836/4)</t>
  </si>
  <si>
    <t>323.81</t>
  </si>
  <si>
    <t>WF8317</t>
  </si>
  <si>
    <t>VAG A3/ Fabia/ Golf V/ Jetta III/ Octavia 1, 2-3, 2L 04/ 00-&gt; KL176/ 1 (4 bar)</t>
  </si>
  <si>
    <t>837 = 33472E</t>
  </si>
  <si>
    <t>33472E   (837) замінено на 8042   (837)</t>
  </si>
  <si>
    <t>99.19</t>
  </si>
  <si>
    <t>33472E</t>
  </si>
  <si>
    <t>Audi| DAF| Fiat| Ford| Iveco| Opel| Renault| Seat| Tarpan| VW| Volvo - Diesel</t>
  </si>
  <si>
    <t>837 = WF8042</t>
  </si>
  <si>
    <t>8042   (837)</t>
  </si>
  <si>
    <t>WF8042</t>
  </si>
  <si>
    <t>VW/Audi/Fiat/Citroen/Peugeot  Diesel eng., с прокладкой 83-99, Iveco 99-</t>
  </si>
  <si>
    <t>837/1 = 95003E</t>
  </si>
  <si>
    <t>95003E   (837/1)</t>
  </si>
  <si>
    <t>149.99</t>
  </si>
  <si>
    <t>95003E</t>
  </si>
  <si>
    <t>MAN trucks &amp; buses (навертный)</t>
  </si>
  <si>
    <t>838 = WF8043</t>
  </si>
  <si>
    <t>8043   (838)</t>
  </si>
  <si>
    <t>157.14</t>
  </si>
  <si>
    <t>WF8043</t>
  </si>
  <si>
    <t>838/4 = WF8268</t>
  </si>
  <si>
    <t>8268   (838/4)</t>
  </si>
  <si>
    <t>256.70</t>
  </si>
  <si>
    <t>WF8268</t>
  </si>
  <si>
    <t>FORD FOCUS 1.8TDCI  01-</t>
  </si>
  <si>
    <t>838/5 = WF8326</t>
  </si>
  <si>
    <t>8326   (838/5)</t>
  </si>
  <si>
    <t>WF8326</t>
  </si>
  <si>
    <t>FORD FOCUS 1, 8TD 98-04</t>
  </si>
  <si>
    <t>839 = WF8045</t>
  </si>
  <si>
    <t>8045   (839)</t>
  </si>
  <si>
    <t>WF8045</t>
  </si>
  <si>
    <t>839/1 = WF8046</t>
  </si>
  <si>
    <t>8046   (839/1)</t>
  </si>
  <si>
    <t>247.54</t>
  </si>
  <si>
    <t>WF8046</t>
  </si>
  <si>
    <t>AUDI A3,A4,A6, VW 1.9TDI  00-,  LT28-35 2.5SDI/TDI 96-</t>
  </si>
  <si>
    <t>839/10 = WF8389</t>
  </si>
  <si>
    <t>8389   (839/10)</t>
  </si>
  <si>
    <t>198.76</t>
  </si>
  <si>
    <t>WF8389</t>
  </si>
  <si>
    <t>Audi A4 II, A6 II (ОЕ 8E0127401D, 8E0127401A)</t>
  </si>
  <si>
    <t>839/4 = WF8199</t>
  </si>
  <si>
    <t>8199   (839/4)</t>
  </si>
  <si>
    <t>365.99</t>
  </si>
  <si>
    <t>WF8199</t>
  </si>
  <si>
    <t>839/6 = WF8264</t>
  </si>
  <si>
    <t>8264   (839/6)</t>
  </si>
  <si>
    <t>262.39</t>
  </si>
  <si>
    <t>WF8264</t>
  </si>
  <si>
    <t>FORD Galaxy,SEAT Alhambra, VW Sharan 1.9TDI 95-00</t>
  </si>
  <si>
    <t>840 = WF8047</t>
  </si>
  <si>
    <t>8047   (840)</t>
  </si>
  <si>
    <t>WF8047</t>
  </si>
  <si>
    <t>MB W123 (OM616), 207D/209D,307D/309D,407D (OM616, OM617)</t>
  </si>
  <si>
    <t>841 = WF8048</t>
  </si>
  <si>
    <t>8048   (841)</t>
  </si>
  <si>
    <t>WF8048</t>
  </si>
  <si>
    <t>MB W201,W124,W202,W210,T1,T2,SPRINTER,VITO (OM601/OM602)</t>
  </si>
  <si>
    <t>841/1 = WF8239</t>
  </si>
  <si>
    <t>8239   (841/1)</t>
  </si>
  <si>
    <t>214.90</t>
  </si>
  <si>
    <t>WF8239</t>
  </si>
  <si>
    <t>MB Sprinter (901, 902, 904) 00-06,  VITO 2.2CDI, VANEO 1.7CDI 02-, A-class A160CDI, A170CDI 01-,</t>
  </si>
  <si>
    <t>841/3 = WF8274</t>
  </si>
  <si>
    <t>8274   (841/3)</t>
  </si>
  <si>
    <t>326.56</t>
  </si>
  <si>
    <t>WF8274</t>
  </si>
  <si>
    <t>MB VITO 108CDI-112CDI 99-, SPRINTER CDI 00- (с датчиком)</t>
  </si>
  <si>
    <t>841/7 = WF8353</t>
  </si>
  <si>
    <t>8353   (841/7)</t>
  </si>
  <si>
    <t>344.71</t>
  </si>
  <si>
    <t>WF8353</t>
  </si>
  <si>
    <t>Mercedes – wersja filtra PP 841/6 z gniazdem czujnika wody (ОЕ 646.092.06.01)</t>
  </si>
  <si>
    <t>841/8 = WF8425</t>
  </si>
  <si>
    <t>8425   (841/8)</t>
  </si>
  <si>
    <t>474.53</t>
  </si>
  <si>
    <t>WF8425</t>
  </si>
  <si>
    <t>Mercedes C (W204), E (W212), GL (X164), GLK (X204), M (W164), Sprinter II</t>
  </si>
  <si>
    <t>842 = WF8130</t>
  </si>
  <si>
    <t>8130   (842)</t>
  </si>
  <si>
    <t>13.39</t>
  </si>
  <si>
    <t>WF8130</t>
  </si>
  <si>
    <t>108x36mm  УНИВЕРСАЛЬНЫЙ-БЕНЗИН (WK31/2)</t>
  </si>
  <si>
    <t>843 = WF8049</t>
  </si>
  <si>
    <t>8049   (843)</t>
  </si>
  <si>
    <t>WF8049</t>
  </si>
  <si>
    <t>FIAT FIORINO 1.7D 88-, DUCATO 2.5TDI 94-02 (CAV-SYSTEM)</t>
  </si>
  <si>
    <t>844 = 33196E</t>
  </si>
  <si>
    <t>33196E   (844)</t>
  </si>
  <si>
    <t>33196E</t>
  </si>
  <si>
    <t>CITROEN/PEUGEOT/RENAULT/FORD diesel engines</t>
  </si>
  <si>
    <t>844 = WF8020</t>
  </si>
  <si>
    <t>8020   (844)</t>
  </si>
  <si>
    <t>WF8020</t>
  </si>
  <si>
    <t>845 = 33358E</t>
  </si>
  <si>
    <t>33358E   (845)</t>
  </si>
  <si>
    <t>61.43</t>
  </si>
  <si>
    <t>33358E</t>
  </si>
  <si>
    <t>MAN/RENAULT/SCANIA/VOLVO - trucks /аналог KC24/</t>
  </si>
  <si>
    <t>845/1 = WF8181</t>
  </si>
  <si>
    <t>8181   (845/1)</t>
  </si>
  <si>
    <t>WF8181</t>
  </si>
  <si>
    <t>FIAT DUCATO 1.9, 2.5 diesel eng. 94-02, RENAULT/SCANIA - trucks (с прокладкой, на резьбе)</t>
  </si>
  <si>
    <t>845/2 = 33358SE</t>
  </si>
  <si>
    <t>33358SE   (845/2)</t>
  </si>
  <si>
    <t>33358SE</t>
  </si>
  <si>
    <t>IVECO - trucks /аналог KC6/</t>
  </si>
  <si>
    <t>848 = WF8052</t>
  </si>
  <si>
    <t>8052   (848)</t>
  </si>
  <si>
    <t>WF8052</t>
  </si>
  <si>
    <t>FORD TRANSIT 2.5D/TD  84-10/97</t>
  </si>
  <si>
    <t>848/1 = WF8053</t>
  </si>
  <si>
    <t>8053   (848/1)</t>
  </si>
  <si>
    <t>191.25</t>
  </si>
  <si>
    <t>WF8053</t>
  </si>
  <si>
    <t>FORD TRANSIT 2.5D/TD 10/97-</t>
  </si>
  <si>
    <t>848/2 = WF8246</t>
  </si>
  <si>
    <t>8246   (848/2)</t>
  </si>
  <si>
    <t>372.03</t>
  </si>
  <si>
    <t>WF8246</t>
  </si>
  <si>
    <t>FORD TRANSIT 2.0D, 2.4D 00 -</t>
  </si>
  <si>
    <t>848/3 = WF8339</t>
  </si>
  <si>
    <t>8339   (848/3)</t>
  </si>
  <si>
    <t>435.85</t>
  </si>
  <si>
    <t>WF8339</t>
  </si>
  <si>
    <t>TRANSIT 2.4DI TDE 01-&gt;</t>
  </si>
  <si>
    <t>848/4 = WF8369</t>
  </si>
  <si>
    <t>8369   (848/4)</t>
  </si>
  <si>
    <t>504.24</t>
  </si>
  <si>
    <t>WF8369</t>
  </si>
  <si>
    <t>Ford Transit 2.4TDCI (137HP) 2004--&gt; (KC223)</t>
  </si>
  <si>
    <t>848/6 = WF8371</t>
  </si>
  <si>
    <t>8371   (848/6)</t>
  </si>
  <si>
    <t>472.15</t>
  </si>
  <si>
    <t>WF8371</t>
  </si>
  <si>
    <t>TRANSIT 06-&gt; 2.4 TDCI</t>
  </si>
  <si>
    <t>850/2 = WF8238</t>
  </si>
  <si>
    <t>8238   (850/2)</t>
  </si>
  <si>
    <t>229.93</t>
  </si>
  <si>
    <t>WF8238</t>
  </si>
  <si>
    <t>AUDI A4,A6, VW PASSAT 1.9TDI  00-</t>
  </si>
  <si>
    <t>851 = WF8182</t>
  </si>
  <si>
    <t>8182   (851)</t>
  </si>
  <si>
    <t>WF8182</t>
  </si>
  <si>
    <t>VAZ 1.5i 8v/16v  (2109, 2110-12)</t>
  </si>
  <si>
    <t>852 = WF8058</t>
  </si>
  <si>
    <t>8058   (852)</t>
  </si>
  <si>
    <t>142.28</t>
  </si>
  <si>
    <t>WF8058</t>
  </si>
  <si>
    <t>ISUZU TROOPER 2.8TD 88-92, 3.1TD 91- (аналог WK920/1)</t>
  </si>
  <si>
    <t>853 = WF8059</t>
  </si>
  <si>
    <t>8059   (853)</t>
  </si>
  <si>
    <t>163.37</t>
  </si>
  <si>
    <t>WF8059</t>
  </si>
  <si>
    <t>MITSUBISHI/ISUZU MIDI 2.0TD, 2.2D 89-, 2.4TD 94-</t>
  </si>
  <si>
    <t>855 = WF8061</t>
  </si>
  <si>
    <t>8061   (855)</t>
  </si>
  <si>
    <t>WF8061</t>
  </si>
  <si>
    <t>857 = WF8063</t>
  </si>
  <si>
    <t>8063   (857)</t>
  </si>
  <si>
    <t>WF8063</t>
  </si>
  <si>
    <t>858 = WF8021</t>
  </si>
  <si>
    <t>8021   (858)</t>
  </si>
  <si>
    <t>WF8021</t>
  </si>
  <si>
    <t>861/2 = 95014E</t>
  </si>
  <si>
    <t>95014E   (861/2)</t>
  </si>
  <si>
    <t>203.35</t>
  </si>
  <si>
    <t>95014E</t>
  </si>
  <si>
    <t>861/3 = 95034E</t>
  </si>
  <si>
    <t>95034E   (861/3)</t>
  </si>
  <si>
    <t>147.61</t>
  </si>
  <si>
    <t>95034E</t>
  </si>
  <si>
    <t>Bova| Daf 65, 65 CF, 75, 75 CF, 85, 85 CF, 95, 95 XF| Iveco 190, 220, 240, 260, 330| Iveco (Magirus)| Atlas| Deutz Fahr| Fendt| Mengele</t>
  </si>
  <si>
    <t>861/4 = 95035E</t>
  </si>
  <si>
    <t>95035E   (861/4)</t>
  </si>
  <si>
    <t>95035E</t>
  </si>
  <si>
    <t>Daf 95XF Euro 3 9/ 99®10/ 02</t>
  </si>
  <si>
    <t>861/6 = 95041E</t>
  </si>
  <si>
    <t>95041E   (861/6)</t>
  </si>
  <si>
    <t>263.48</t>
  </si>
  <si>
    <t>95041E</t>
  </si>
  <si>
    <t>865 = WF8069</t>
  </si>
  <si>
    <t>8069   (865)</t>
  </si>
  <si>
    <t>WF8069</t>
  </si>
  <si>
    <t>865/2 = WF8194</t>
  </si>
  <si>
    <t>8194   (865/2)</t>
  </si>
  <si>
    <t>143.57</t>
  </si>
  <si>
    <t>WF8194</t>
  </si>
  <si>
    <t>FORD FOCUS 1.4i 16V - 2.0i 16V  98-</t>
  </si>
  <si>
    <t>865/4 = WF8266</t>
  </si>
  <si>
    <t>8266   (865/4)</t>
  </si>
  <si>
    <t>WF8266</t>
  </si>
  <si>
    <t>FORD FIESTA 1.25-1.6,  01-, FUSION  02-    /KL458/</t>
  </si>
  <si>
    <t>865/5 = WF8373</t>
  </si>
  <si>
    <t>8373   (865/5)</t>
  </si>
  <si>
    <t>WF8373</t>
  </si>
  <si>
    <t>Ford Focus| Volvo C30, C70 II, S40II, V50 (ОЕ 1212739, 2M5C9B072AB, 1224577, 2M5C9155AB, 1465018, 2M5C9155AC, 7N519155AB|)</t>
  </si>
  <si>
    <t>879/1 = 95016E</t>
  </si>
  <si>
    <t>95016E   (879/1)</t>
  </si>
  <si>
    <t>232.31</t>
  </si>
  <si>
    <t>95016E</t>
  </si>
  <si>
    <t>IVECO trucks</t>
  </si>
  <si>
    <t>879/4 = 95028E</t>
  </si>
  <si>
    <t>95028E   (879/4)</t>
  </si>
  <si>
    <t>372.58</t>
  </si>
  <si>
    <t>95028E</t>
  </si>
  <si>
    <t>Iveco Eurostar, Eurotech, Stralis (sil. Tector)</t>
  </si>
  <si>
    <t>879/5 = 95107E</t>
  </si>
  <si>
    <t>95107E   (879/5)</t>
  </si>
  <si>
    <t>236.17</t>
  </si>
  <si>
    <t>95107E</t>
  </si>
  <si>
    <t>Iveco Eurocargo II, Eurocargo III, Stralis (filtr wst?pnego oczyszczania) (ОЕ 2992662)</t>
  </si>
  <si>
    <t>903 = WF8099</t>
  </si>
  <si>
    <t>8099   (903)</t>
  </si>
  <si>
    <t>WF8099</t>
  </si>
  <si>
    <t>NISSAN ALMERA,PRIMERA,BLUEBIRD,SUNNY 1.6-2.0</t>
  </si>
  <si>
    <t>905 = WF8101</t>
  </si>
  <si>
    <t>8101   (905)</t>
  </si>
  <si>
    <t>WF8101</t>
  </si>
  <si>
    <t>Daewoo Lanos, OPEL Corsa  93-, Omega B 94-, VECTRA 1.6-2.6 95- , VAZ 1.6, 1.6 16v</t>
  </si>
  <si>
    <t>905/2 = WF8352</t>
  </si>
  <si>
    <t>8352   (905/2)</t>
  </si>
  <si>
    <t>WF8352</t>
  </si>
  <si>
    <t xml:space="preserve">DAEWOO Lanos, Matiz, Nubira, Lanos (T-100/T-150), Sens (With electrical connector) | Chevrolet (GM) Epica, Evanda, Lacetti, Zaz (3A3) </t>
  </si>
  <si>
    <t>905/3 = WF8333</t>
  </si>
  <si>
    <t>8333   (905/3)</t>
  </si>
  <si>
    <t>WF8333</t>
  </si>
  <si>
    <t>AVEO 1.2-1.6  96335719/ 96444649  /KL470/</t>
  </si>
  <si>
    <t>921 = WF8152</t>
  </si>
  <si>
    <t>8152   (921)</t>
  </si>
  <si>
    <t>175.84</t>
  </si>
  <si>
    <t>WF8152</t>
  </si>
  <si>
    <t>FIAT Palio 1.0-1.6 04/96-&gt;/Seicento 0.9/1.1 01/98-&gt;/Siena 1.0-1.6 04/96-&gt;/Strada 1.2 06/99-&gt;</t>
  </si>
  <si>
    <t>922 = WF8110</t>
  </si>
  <si>
    <t>8110   (922)</t>
  </si>
  <si>
    <t>145.22</t>
  </si>
  <si>
    <t>WF8110</t>
  </si>
  <si>
    <t>MAZDA E2200 2.2D 84-, 626 2.0D 83-87, B-SERIE 2.5D 96-99</t>
  </si>
  <si>
    <t>935/1 = 95021E</t>
  </si>
  <si>
    <t>95021E   (935/1)</t>
  </si>
  <si>
    <t>171.44</t>
  </si>
  <si>
    <t>95021E</t>
  </si>
  <si>
    <t>936 = WF8166</t>
  </si>
  <si>
    <t>8166   (936)</t>
  </si>
  <si>
    <t>WF8166</t>
  </si>
  <si>
    <t>936/1 = WF8405</t>
  </si>
  <si>
    <t>8405   (936/1)</t>
  </si>
  <si>
    <t>97.18</t>
  </si>
  <si>
    <t>WF8405</t>
  </si>
  <si>
    <t>Opel Astra H, Corsa C , Zafira 1.7CDTi  04-</t>
  </si>
  <si>
    <t>937/1 = 95101E</t>
  </si>
  <si>
    <t>95101E   (937/1)</t>
  </si>
  <si>
    <t>95101E</t>
  </si>
  <si>
    <t>M.A.N. (Trucks) - separator wody (81.12501.0022)</t>
  </si>
  <si>
    <t>940/2 = WF8270</t>
  </si>
  <si>
    <t>8270   (940/2)</t>
  </si>
  <si>
    <t>215.45</t>
  </si>
  <si>
    <t>WF8270</t>
  </si>
  <si>
    <t>BMW 318TDS, 325TD/TDS, 530D 93-99 (M41,M51,M57 -engines)</t>
  </si>
  <si>
    <t>940/3 = WF8263</t>
  </si>
  <si>
    <t>8263   (940/3)</t>
  </si>
  <si>
    <t>338.48</t>
  </si>
  <si>
    <t>WF8263</t>
  </si>
  <si>
    <t>944 = WF8172</t>
  </si>
  <si>
    <t>8172   (944)</t>
  </si>
  <si>
    <t>WF8172</t>
  </si>
  <si>
    <t>946/1 = WF8201</t>
  </si>
  <si>
    <t>8201   (946/1)</t>
  </si>
  <si>
    <t>241.12</t>
  </si>
  <si>
    <t>WF8201</t>
  </si>
  <si>
    <t>Voyager 2.5d -01</t>
  </si>
  <si>
    <t>950 = WF8218</t>
  </si>
  <si>
    <t>8218   (950)</t>
  </si>
  <si>
    <t>158.24</t>
  </si>
  <si>
    <t>WF8218</t>
  </si>
  <si>
    <t>TOYOTA/MAZDA 1.9, 2.0 diesel engines 97-</t>
  </si>
  <si>
    <t>960 = WF8213</t>
  </si>
  <si>
    <t>8213   (960)</t>
  </si>
  <si>
    <t>273.94</t>
  </si>
  <si>
    <t>WF8213</t>
  </si>
  <si>
    <t>VW POLO, SEAT IBIZA,CORDOBA 1.9TDI/CDI 99-</t>
  </si>
  <si>
    <t>962 = WF8241</t>
  </si>
  <si>
    <t>8241   (962)</t>
  </si>
  <si>
    <t>107.08</t>
  </si>
  <si>
    <t>WF8241</t>
  </si>
  <si>
    <t>963 = 95008E</t>
  </si>
  <si>
    <t>95008E   (963)</t>
  </si>
  <si>
    <t>95008E</t>
  </si>
  <si>
    <t>SCANIA - trucks /142 X 92 (M24X1.5)/</t>
  </si>
  <si>
    <t>964 = 33690E</t>
  </si>
  <si>
    <t>33690E   (964)</t>
  </si>
  <si>
    <t>33690E</t>
  </si>
  <si>
    <t>Volvo FL, FL 12, Fm 10, FM 12, FM 7</t>
  </si>
  <si>
    <t>964/1 = 95037E</t>
  </si>
  <si>
    <t>95037E   (964/1)</t>
  </si>
  <si>
    <t>308.04</t>
  </si>
  <si>
    <t>95037E</t>
  </si>
  <si>
    <t>Volvo Bus 8500, 8700, 9700, 9900, Volvo Trucks FH12 11/ 01-&gt; , FH16 6/ 03-&gt;, FM12 11/ 01-&gt;, FM9 11/ 01-&gt;, VN 8/ 02-&gt;</t>
  </si>
  <si>
    <t>965 = 33405</t>
  </si>
  <si>
    <t>33405   (965)</t>
  </si>
  <si>
    <t>218.75</t>
  </si>
  <si>
    <t>33405E</t>
  </si>
  <si>
    <t>966 = WF8262</t>
  </si>
  <si>
    <t>8262   (966)</t>
  </si>
  <si>
    <t>409.44</t>
  </si>
  <si>
    <t>WF8262</t>
  </si>
  <si>
    <t>Fiat Doblo 1.9JTD, Palio 1.9JTD, Punto II 1.9JTD, Strada 1.9JTD 9/99-&gt; (KL474)</t>
  </si>
  <si>
    <t>966/2 = WF8384</t>
  </si>
  <si>
    <t>8384   (966/2)</t>
  </si>
  <si>
    <t>1182.85</t>
  </si>
  <si>
    <t>WF8384</t>
  </si>
  <si>
    <t>966/3 = WF8408</t>
  </si>
  <si>
    <t>8408   (966/3)</t>
  </si>
  <si>
    <t>793.03</t>
  </si>
  <si>
    <t>WF8408</t>
  </si>
  <si>
    <t>Alfa Romeo, Fiat, Lancia 1.3JTDM, 1.6JTDM, 1.9JTDM| 2.0JTDM, 2.4JTDM, 05-11</t>
  </si>
  <si>
    <t>968/2 = WF8327</t>
  </si>
  <si>
    <t>8327   (968/2)</t>
  </si>
  <si>
    <t>WF8327</t>
  </si>
  <si>
    <t>Fiat Multipla 1.9JTD 8/00-&gt;2/03| Punto II 1.9JTD 6/01-&gt;5/03| Kia Sorento 2.5CRDI</t>
  </si>
  <si>
    <t>970 = WF8240</t>
  </si>
  <si>
    <t>8240   (970)</t>
  </si>
  <si>
    <t>WF8240</t>
  </si>
  <si>
    <t>BMW E46 318D/ TD/ 320D 98-&gt;</t>
  </si>
  <si>
    <t>971/2 = 95114E</t>
  </si>
  <si>
    <t>95114E   (971/2)</t>
  </si>
  <si>
    <t>309.88</t>
  </si>
  <si>
    <t>95114E</t>
  </si>
  <si>
    <t>Renault Mascott 120Dxi, 160Dxi (ОЕ „5001860111” )</t>
  </si>
  <si>
    <t>973 = WF8308</t>
  </si>
  <si>
    <t>8308   (973)</t>
  </si>
  <si>
    <t>328.21</t>
  </si>
  <si>
    <t>WF8308</t>
  </si>
  <si>
    <t>973/1 = WF8313</t>
  </si>
  <si>
    <t>8313   (973/1)</t>
  </si>
  <si>
    <t>314.83</t>
  </si>
  <si>
    <t>WF8313</t>
  </si>
  <si>
    <t>VW LT 2.8 TDI, 01-06</t>
  </si>
  <si>
    <t>973/2 = WF8355</t>
  </si>
  <si>
    <t>8355   (973/2)</t>
  </si>
  <si>
    <t>WF8355</t>
  </si>
  <si>
    <t>973/3 = WF8388</t>
  </si>
  <si>
    <t>8388   (973/3)</t>
  </si>
  <si>
    <t>132.02</t>
  </si>
  <si>
    <t>WF8388</t>
  </si>
  <si>
    <t>Skoda Octavia II 1.9TDI, 2.0TDI| Volkswagen Golf V (UFI system filtration)</t>
  </si>
  <si>
    <t>973/4 = WF8392</t>
  </si>
  <si>
    <t>8392   (973/4)</t>
  </si>
  <si>
    <t>WF8392</t>
  </si>
  <si>
    <t>VW Crafter 2.5TDI 06-&gt; (ОЕ 2E0127177, 2E0127159)</t>
  </si>
  <si>
    <t>973/7 = WF8470</t>
  </si>
  <si>
    <t>8470   (973/7)</t>
  </si>
  <si>
    <t>341.60</t>
  </si>
  <si>
    <t>WF8470</t>
  </si>
  <si>
    <t>Audi Q3| Seat Alahambra| Skoda Octavia| Volkswagen Passat, Sharan 2.0TDI 06/10--&gt;</t>
  </si>
  <si>
    <t>973/8 = WF8473</t>
  </si>
  <si>
    <t>8473   (973/8)</t>
  </si>
  <si>
    <t>405.22</t>
  </si>
  <si>
    <t>WF8473</t>
  </si>
  <si>
    <t>Porsche Cayenne, Volkswagen Touareg 3.0-4.2TDI 10- /E431KP/</t>
  </si>
  <si>
    <t>974 = WF8302</t>
  </si>
  <si>
    <t>8302   (974)</t>
  </si>
  <si>
    <t>656.61</t>
  </si>
  <si>
    <t>WF8302</t>
  </si>
  <si>
    <t>CITROEN C2, 3, 4 1, 41, 6L 01-г / Ford FIESTA, FUSION 1, 4TDCi 01-г / PEUGEOT 107, 206, 207, 307 1, 4L 01-г</t>
  </si>
  <si>
    <t>974/1 = WF8360</t>
  </si>
  <si>
    <t>8360   (974/1)</t>
  </si>
  <si>
    <t>464.26</t>
  </si>
  <si>
    <t>WF8360</t>
  </si>
  <si>
    <t>Citroen 1.4HDI, 1.6HDI 6/04| Peugeot 1.4HDI, 1.6HDI 2/04</t>
  </si>
  <si>
    <t>975 = 95038E</t>
  </si>
  <si>
    <t>95038E   (975)</t>
  </si>
  <si>
    <t>95038E</t>
  </si>
  <si>
    <t>Daf 75CF, 85CF 7/00--&gt;, XF95 10/02--&gt;</t>
  </si>
  <si>
    <t>975/1 = 95040E</t>
  </si>
  <si>
    <t>95040E   (975/1)</t>
  </si>
  <si>
    <t>95040E</t>
  </si>
  <si>
    <t>Daf CF75, CF85, XF95 -Heavy Duty (mann pu966x</t>
  </si>
  <si>
    <t>975/2 = 95139E</t>
  </si>
  <si>
    <t>95139E   (975/2)</t>
  </si>
  <si>
    <t>406.50</t>
  </si>
  <si>
    <t>95139E</t>
  </si>
  <si>
    <t>Daf CF75, CF85, XF95</t>
  </si>
  <si>
    <t>977 = 95036E</t>
  </si>
  <si>
    <t>95036E   (977)</t>
  </si>
  <si>
    <t>229.75</t>
  </si>
  <si>
    <t>95036E</t>
  </si>
  <si>
    <t>MAN TG-A Truck (see OE)</t>
  </si>
  <si>
    <t>977/1 = 95042E</t>
  </si>
  <si>
    <t>95042E   (977/1)</t>
  </si>
  <si>
    <t>273.76</t>
  </si>
  <si>
    <t>95042E</t>
  </si>
  <si>
    <t>M.A.N. TG-A TG310A, TG350A, TG390A, TG430A 2/04--&gt;  /KX191/1DEco/</t>
  </si>
  <si>
    <t>979/2 = WF8395</t>
  </si>
  <si>
    <t>8395   (979/2)</t>
  </si>
  <si>
    <t>WF8395</t>
  </si>
  <si>
    <t>Kia Ceed 1.6CRDI, Hyundai i30, Santa-Fe, Tucson 1.6CRDI, 2.0CRDI (ОЕ 319222E900)</t>
  </si>
  <si>
    <t>980/2 = WF8362</t>
  </si>
  <si>
    <t>8362   (980/2)</t>
  </si>
  <si>
    <t>357.55</t>
  </si>
  <si>
    <t>WF8362</t>
  </si>
  <si>
    <t>CLIO II/KANGOO 1.5 dCi 02&gt;</t>
  </si>
  <si>
    <t>981/2 = WF8476</t>
  </si>
  <si>
    <t>8476   (981/2) !!заміна для 8393   (981/1)</t>
  </si>
  <si>
    <t>WF8476</t>
  </si>
  <si>
    <t>Ford Mondeo 2.0TDCI 07-&gt;| Volvo C30, C70 II, S40 II, S80 II, V50, V70 II  2.4D</t>
  </si>
  <si>
    <t>982 = WF8366</t>
  </si>
  <si>
    <t>8366   (982)</t>
  </si>
  <si>
    <t>256.52</t>
  </si>
  <si>
    <t>WF8366</t>
  </si>
  <si>
    <t>FIAT/OPEL 1.3/1.9 CDTi 04-&gt;</t>
  </si>
  <si>
    <t>983 = 95043E</t>
  </si>
  <si>
    <t>95043E   (983)</t>
  </si>
  <si>
    <t>95043E</t>
  </si>
  <si>
    <t>Scania R164 (sil. DC16) 6/ 00</t>
  </si>
  <si>
    <t>983/1 = 95044E</t>
  </si>
  <si>
    <t>95044E   (983/1)</t>
  </si>
  <si>
    <t>286.41</t>
  </si>
  <si>
    <t>95044E</t>
  </si>
  <si>
    <t>985 = WF8358</t>
  </si>
  <si>
    <t>8358   (985)</t>
  </si>
  <si>
    <t>559.25</t>
  </si>
  <si>
    <t>WF8358</t>
  </si>
  <si>
    <t>T5/TOUAREG 2.5 TDI (KL229/4)</t>
  </si>
  <si>
    <t>985/6 = WF8466</t>
  </si>
  <si>
    <t>8466   (985/6)</t>
  </si>
  <si>
    <t>290.99</t>
  </si>
  <si>
    <t>WF8466</t>
  </si>
  <si>
    <t>Volkswagen Crafter</t>
  </si>
  <si>
    <t>986 = WF8379</t>
  </si>
  <si>
    <t>8379   (986)</t>
  </si>
  <si>
    <t>291.54</t>
  </si>
  <si>
    <t>WF8379</t>
  </si>
  <si>
    <t>988 = WF8403</t>
  </si>
  <si>
    <t>8403   (988)</t>
  </si>
  <si>
    <t>453.45</t>
  </si>
  <si>
    <t>WF8403</t>
  </si>
  <si>
    <t>Renault Kangoo II 1.5 dCi, Laguna III 1.5 dCi, 2.0 dCi - bez gniazda czujnika wody</t>
  </si>
  <si>
    <t>988/2 = WF8438</t>
  </si>
  <si>
    <t>8438   (988/2)</t>
  </si>
  <si>
    <t>510.47</t>
  </si>
  <si>
    <t>WF8438</t>
  </si>
  <si>
    <t>Renault Fluence, Megane III, Scenic IV 1.5dCi, 1.9dCi, 2.0dCi</t>
  </si>
  <si>
    <t>988/3 = WF8455</t>
  </si>
  <si>
    <t>8455   (988/3)</t>
  </si>
  <si>
    <t>304.19</t>
  </si>
  <si>
    <t>WF8455</t>
  </si>
  <si>
    <t>Dacia Logan, Sandero,Duster 1.5dCi, 06-</t>
  </si>
  <si>
    <t>999 = WF8023</t>
  </si>
  <si>
    <t>8023   (999)</t>
  </si>
  <si>
    <t>14.48</t>
  </si>
  <si>
    <t>WF8023</t>
  </si>
  <si>
    <t>LPG gas filter "LOVATO"</t>
  </si>
  <si>
    <t>999/1 = WF8024</t>
  </si>
  <si>
    <t>8024   (999/1)</t>
  </si>
  <si>
    <t>25.67</t>
  </si>
  <si>
    <t>WF8024</t>
  </si>
  <si>
    <t>LPG gas filter "MARINI"</t>
  </si>
  <si>
    <t>999/15 = WF8418</t>
  </si>
  <si>
    <t>8418   (999/15)</t>
  </si>
  <si>
    <t>WF8418</t>
  </si>
  <si>
    <t>Wk?ad filtra do samochodowych instalacji gazowych MATRIX</t>
  </si>
  <si>
    <t>999/2 = WF8342</t>
  </si>
  <si>
    <t>8342   (999/2)</t>
  </si>
  <si>
    <t>WF8342</t>
  </si>
  <si>
    <t>LPG gas filter "LANDI"</t>
  </si>
  <si>
    <t>999/3 = WF8343</t>
  </si>
  <si>
    <t>8343   (999/3)</t>
  </si>
  <si>
    <t>30.99</t>
  </si>
  <si>
    <t>WF8343</t>
  </si>
  <si>
    <t>LPG gas filter "BRC"</t>
  </si>
  <si>
    <t>999/4 = WF8344</t>
  </si>
  <si>
    <t>8344   (999/4)</t>
  </si>
  <si>
    <t>29.34</t>
  </si>
  <si>
    <t>WF8344</t>
  </si>
  <si>
    <t>LPG gas filter "MEDA"</t>
  </si>
  <si>
    <t>999/5 = WF8345</t>
  </si>
  <si>
    <t>8345   (999/5)</t>
  </si>
  <si>
    <t>16.13</t>
  </si>
  <si>
    <t>WF8345</t>
  </si>
  <si>
    <t>LPG gas filter "STEFANELLI"</t>
  </si>
  <si>
    <t>999/6 = WF8346</t>
  </si>
  <si>
    <t>8346   (999/6)</t>
  </si>
  <si>
    <t>WF8346</t>
  </si>
  <si>
    <t>LPG gas filter "EMMA-GAS"</t>
  </si>
  <si>
    <t>999/7 = WF8347</t>
  </si>
  <si>
    <t>8347   (999/7)</t>
  </si>
  <si>
    <t>15.95</t>
  </si>
  <si>
    <t>WF8347</t>
  </si>
  <si>
    <t>LPG gas filter "OMNIA"</t>
  </si>
  <si>
    <t>999/8 = WF8348</t>
  </si>
  <si>
    <t>8348   (999/8)</t>
  </si>
  <si>
    <t>20.72</t>
  </si>
  <si>
    <t>WF8348</t>
  </si>
  <si>
    <t>LPG gas filter "LANDI RENZO"</t>
  </si>
  <si>
    <t>999/9 = WF8349</t>
  </si>
  <si>
    <t>8349   (999/9)</t>
  </si>
  <si>
    <t>26.40</t>
  </si>
  <si>
    <t>WF8349</t>
  </si>
  <si>
    <t>LPG gas filter "ROMANO"</t>
  </si>
  <si>
    <t>WOLF</t>
  </si>
  <si>
    <t>VITALTECH 5W30 5Lx4</t>
  </si>
  <si>
    <t>480.21</t>
  </si>
  <si>
    <t>? ACEA A3/B4-12 ? API SL/CF ? MB 229.3 ? OPEL GM-LL-B-025 ? VW 502 00 ? VW 505 00</t>
  </si>
  <si>
    <t>EXTENDTECH 80W90 LS GL 5 1Lx12</t>
  </si>
  <si>
    <t>121.39</t>
  </si>
  <si>
    <t>? API GL-5 ? MIL MIL-L-2105 C ? MIL MIL-L-2105 D</t>
  </si>
  <si>
    <t>OUTBOARD 2T TC-W3 1Lx12</t>
  </si>
  <si>
    <t>114.79</t>
  </si>
  <si>
    <t>NMMA TC-W3</t>
  </si>
  <si>
    <t>VITALTECH 5W30 ASIA/US 1Lx12</t>
  </si>
  <si>
    <t>? API SN ? CHRYSLER MS 6395 ? FORD WSS-M2C946-A ? GM dexos 1 ? ILSAC GF-5</t>
  </si>
  <si>
    <t>VITALTECH 5W30 ASIA/US 4Lx4</t>
  </si>
  <si>
    <t>374.33</t>
  </si>
  <si>
    <t>VITALTECH 5W40 PI C3 1Lx12</t>
  </si>
  <si>
    <t>116.22</t>
  </si>
  <si>
    <t>? ACEA C3-12 ? API SN/CF ? BMW LONGLIFE-04 ? GM dexos 2 ? MB 229.31 ? VW 505 01</t>
  </si>
  <si>
    <t>VITALTECH 5W40 PI C3 4Lx4</t>
  </si>
  <si>
    <t>398.39</t>
  </si>
  <si>
    <t>GUARDTECH SAE 80W GL 4 1Lx12</t>
  </si>
  <si>
    <t>90.55</t>
  </si>
  <si>
    <t>? API GL-4 ? MIL MIL-L-2105</t>
  </si>
  <si>
    <t>EXTENDTECH 75W90 GL 5 1Lx12</t>
  </si>
  <si>
    <t>120.50</t>
  </si>
  <si>
    <t>? API GL-5 ? MIL MIL-L-2105 D</t>
  </si>
  <si>
    <t>GUARDTECH 10W40 B4 DIESEL 1Lx12</t>
  </si>
  <si>
    <t>83.42</t>
  </si>
  <si>
    <t>? ACEA A3/B3-10 ? ACEA A3/B4-08 ? API SL/CF ? MB 229.1 ? VW 505 00</t>
  </si>
  <si>
    <t>VITALTECH 75W80 MULTI VEHICLE  1Lx12</t>
  </si>
  <si>
    <t>166.84</t>
  </si>
  <si>
    <t>? API GL-4 + ? FORD WSD-M2C200-D ? GM 1940182 ? HONDA MTF 94 ? MB 235.10 ? PSA B71 2330</t>
  </si>
  <si>
    <t>GUARDTECH 10W40 B4 1Lx12</t>
  </si>
  <si>
    <t>80.57</t>
  </si>
  <si>
    <t>? ACEA A3/B3-10 ? ACEA A3/B4-08 ? API SL/CF ? MB 229.1 ? VW 501 01 Level ? VW 505 00 Level</t>
  </si>
  <si>
    <t>GUARDTECH 10W40 B4 DIESEL 4Lx4</t>
  </si>
  <si>
    <t>289.48</t>
  </si>
  <si>
    <t>GUARDTECH 10W40 B4 4Lx4</t>
  </si>
  <si>
    <t>279.32</t>
  </si>
  <si>
    <t>GUARDTECH 10W40 B4 DIESEL 5Lx4</t>
  </si>
  <si>
    <t>343.49</t>
  </si>
  <si>
    <t>GUARDTECH 10W40 B4 5Lx4</t>
  </si>
  <si>
    <t>331.37</t>
  </si>
  <si>
    <t>OFFICIALTECH 75W90 G50 1Lx12</t>
  </si>
  <si>
    <t>234.76</t>
  </si>
  <si>
    <t>? API GL-4 + ? BMW MTF LT-4 ? FORD WSD-M2C200-C ? VW 501 50</t>
  </si>
  <si>
    <t>EXTENDTECH 80W90 GL 5 1Lx12</t>
  </si>
  <si>
    <t>102.85</t>
  </si>
  <si>
    <t>? API GL-5 ? MAN 342 M-1 ? MAN 342 M-2 ? ZF TE-ML 05A ? ZF TE-ML 16C ? ZF TE-ML 19B</t>
  </si>
  <si>
    <t>EXTENDTECH ATF DII 1Lx12</t>
  </si>
  <si>
    <t>106.59</t>
  </si>
  <si>
    <t>ALLISON  C4 ? FORD M2C-138CJ, Mercon ? GM 6137-M DEXRON II-D ? MAN 339 V1/Z1 ? MB 236.7 ? VOITH H55.6335xx</t>
  </si>
  <si>
    <t>VITALTECH ATF DIII 1Lx12</t>
  </si>
  <si>
    <t>118.18</t>
  </si>
  <si>
    <t>FORD MERCON ? GM 6417-M DEXRON III-G ? MAN 339 V1/Z1 ? MB 236.5 ? MB 236.9 ? VOITH H55.6335xx</t>
  </si>
  <si>
    <t>VITALTECH MULTI VEHICLE ATF 1Lx12</t>
  </si>
  <si>
    <t>140.28</t>
  </si>
  <si>
    <t>AISIN-WARNER JWS 3309 ? CHRYSLER ATF +3 AND +4 ? FORD MERCON V ? GM DEXRON III-H ? TOYOTA TYPE T-IV ? VW G 055 025</t>
  </si>
  <si>
    <t>EXTENDTECH 80W90 GL 5 205L</t>
  </si>
  <si>
    <t>12401.39</t>
  </si>
  <si>
    <t>OFFICIALTECH 5W30 LL III 1Lx12</t>
  </si>
  <si>
    <t>163.63</t>
  </si>
  <si>
    <t>? ACEA C2* ? ACEA C3-12 ? BMW LONGLIFE-04 ? MB 229.51 ? PORSCHE C30 ? VW 504 00/507 00</t>
  </si>
  <si>
    <t>OFFICIALTECH 5W30 LL III 4Lx4</t>
  </si>
  <si>
    <t>578.24</t>
  </si>
  <si>
    <t>OFFICIALTECH 5W30 LL III 5Lx4</t>
  </si>
  <si>
    <t>704.09</t>
  </si>
  <si>
    <t>OFFICIALTECH 5W30 C3 1Lx12</t>
  </si>
  <si>
    <t>? ACEA C3-12 ? API SN/CF ? BMW LONGLIFE-04 ? GM dexos 2 ? MB 229.51 ? VW 502 00</t>
  </si>
  <si>
    <t>OFFICIALTECH 5W30 C3 4Lx4</t>
  </si>
  <si>
    <t>395.18</t>
  </si>
  <si>
    <t>OFFICIALTECH 5W30 C3 5Lx4</t>
  </si>
  <si>
    <t>461.67</t>
  </si>
  <si>
    <t>OFFICIALTECH 5W30 C4 1Lx12</t>
  </si>
  <si>
    <t>143.85</t>
  </si>
  <si>
    <t>? ACEA C4-12 ? MB 226.51 ? MB 229.51 ? RENAULT RN 0720</t>
  </si>
  <si>
    <t>OFFICIALTECH 5W30 C4 4Lx4</t>
  </si>
  <si>
    <t>490.37</t>
  </si>
  <si>
    <t>OFFICIALTECH 5W30 MS-F 1Lx12</t>
  </si>
  <si>
    <t>127.81</t>
  </si>
  <si>
    <t>? ACEA A1/B1-12 ? ACEA A5/B5-12 ? API SL/CF ? FORD WSS-M2C913-C/D ?  RENAULT RN 0700</t>
  </si>
  <si>
    <t>OFFICIALTECH 5W30 MS-F 4Lx4</t>
  </si>
  <si>
    <t>420.67</t>
  </si>
  <si>
    <t>VITALTECH 5W30 1Lx12</t>
  </si>
  <si>
    <t>122.28</t>
  </si>
  <si>
    <t>VITALTECH 5W30 4Lx4</t>
  </si>
  <si>
    <t>401.24</t>
  </si>
  <si>
    <t>VITALTECH  5W40 1Lx12</t>
  </si>
  <si>
    <t>108.38</t>
  </si>
  <si>
    <t>? ACEA A3/B4-12 ? API SN/CF ? BMW LONGLIFE-01 ? MB 229.3 ? PSA B71 2296 ? VW 505 00</t>
  </si>
  <si>
    <t>VITALTECH  5W40 4Lx4</t>
  </si>
  <si>
    <t>390.72</t>
  </si>
  <si>
    <t>VITALTECH  5W40 5Lx4</t>
  </si>
  <si>
    <t>473.08</t>
  </si>
  <si>
    <t>GUARDTECH 10W40 DIESEL B4 205L</t>
  </si>
  <si>
    <t>12016.55</t>
  </si>
  <si>
    <t>GUARDTECH 10W40 B4 20L</t>
  </si>
  <si>
    <t>1215.13</t>
  </si>
  <si>
    <t>GUARDTECH 10W40 B4 205L</t>
  </si>
  <si>
    <t>11581.79</t>
  </si>
  <si>
    <t>VITALTECH 5W50 1Lx12</t>
  </si>
  <si>
    <t>? ACEA A3/B4-08 ? API SN/CF ? BMW LONGLIFE-01 ? MB 229.3 ? VW 501 01 ? VW 505 00</t>
  </si>
  <si>
    <t>VITALTECH 5W50 5Lx4</t>
  </si>
  <si>
    <t>476.82</t>
  </si>
  <si>
    <t>VITALTECH 10W40 20L</t>
  </si>
  <si>
    <t>1414.06</t>
  </si>
  <si>
    <t>? ACEA E7-08 Issue 2 ? API CI-4/SL ? MAN M3275-1 ? MB 228.3 ? RENAULT RLD-2 ? VOLVO VDS-3</t>
  </si>
  <si>
    <t>VITALTECH 10W40 60L</t>
  </si>
  <si>
    <t>4147.34</t>
  </si>
  <si>
    <t>VITALTECH 10W40 205L</t>
  </si>
  <si>
    <t>13553.24</t>
  </si>
  <si>
    <t>VITALTECH 15W40 205L</t>
  </si>
  <si>
    <t>13180.34</t>
  </si>
  <si>
    <t>OFFICIALTECH 5W30 LL III 60L</t>
  </si>
  <si>
    <t>7180.80</t>
  </si>
  <si>
    <t>MULTI MOLY GREASE 2 400GRx24</t>
  </si>
  <si>
    <t>87.34</t>
  </si>
  <si>
    <t>DIN 51502 ? DIN KPF2K-30 ? ISO 6743 ? ISO L-XCCIB2</t>
  </si>
  <si>
    <t>LITHIUM GREASE EP 2 400GRx24</t>
  </si>
  <si>
    <t>74.69</t>
  </si>
  <si>
    <t>DIN 51502 ? DIN KP2K-30 ? ISO 6743 ? ISO L-XCCIB2</t>
  </si>
  <si>
    <t>VITALTECH 5W40 B4 DIESEL 1Lx12</t>
  </si>
  <si>
    <t>111.23</t>
  </si>
  <si>
    <t>? ACEA A3/B4-10 ? API SN/CF ? BMW LONGLIFE-01 ? MB 229.3 ? PSA B71 2296 ? RENAULT RN 0710</t>
  </si>
  <si>
    <t>VITALTECH 5W40 B4 DIESEL 4Lx4</t>
  </si>
  <si>
    <t>396.25</t>
  </si>
  <si>
    <t>МФК</t>
  </si>
  <si>
    <t>Антифриз NordWay-40 GREEN, 1кг</t>
  </si>
  <si>
    <t>17.17</t>
  </si>
  <si>
    <t>Антифриз NordWay-40 GREEN, 5кг</t>
  </si>
  <si>
    <t>70.30</t>
  </si>
  <si>
    <t>Антифриз NordWay-40 RED, 10кг</t>
  </si>
  <si>
    <t>137.69</t>
  </si>
  <si>
    <t>Антифриз NordWay-40 RED, 1кг</t>
  </si>
  <si>
    <t>Антифриз NordWay-40 RED, 5кг</t>
  </si>
  <si>
    <t>Антифриз PROFI Green (-30 С ), 1кг x6</t>
  </si>
  <si>
    <t>22.88</t>
  </si>
  <si>
    <t>Антифриз PROFI Green (-30 С ), 5кг</t>
  </si>
  <si>
    <t>91.37</t>
  </si>
  <si>
    <t>Антифриз PROFI Red (-30 С ), 1кг x6</t>
  </si>
  <si>
    <t>Антифриз PROFI Red (-30 С ), 5кг</t>
  </si>
  <si>
    <t>Тосол Тайфун-40 (-24С ), 4,5кг</t>
  </si>
  <si>
    <t>58.06</t>
  </si>
  <si>
    <t>Тосол PROFI -40 економ (синій) 0,95 кг (6 шт)</t>
  </si>
  <si>
    <t>21.18</t>
  </si>
  <si>
    <t>Тосол "Триол-40" 1 кг x6</t>
  </si>
  <si>
    <t>24.65</t>
  </si>
  <si>
    <t>Антифриз PROFI Green (-30 С ), 10кг</t>
  </si>
  <si>
    <t>175.15</t>
  </si>
  <si>
    <t>Антифриз PROFI Red (-30 С ), 10кг</t>
  </si>
  <si>
    <t>Тосол PROFI Max (-24 С ), 0,95кг x6</t>
  </si>
  <si>
    <t>18.80</t>
  </si>
  <si>
    <t>Тосол PROFI -40 (-40 С ), 5кг</t>
  </si>
  <si>
    <t>Тосол PROFI -40 (-40 С ), 1кг x6</t>
  </si>
  <si>
    <t>24.78</t>
  </si>
  <si>
    <t>Тосол PROFI -40 (-40 С ), 10кг</t>
  </si>
  <si>
    <t>194.18</t>
  </si>
  <si>
    <t>Тосол А40-М SUPER 1 кг x6</t>
  </si>
  <si>
    <t>17.78</t>
  </si>
  <si>
    <t>Antifreeze  Active Red (-30С), 10кг</t>
  </si>
  <si>
    <t>Antifreeze  Active Red (-30С), 4,5кг</t>
  </si>
  <si>
    <t>Antifreeze  Active Red (-30С), 1кг x6</t>
  </si>
  <si>
    <t>Antifreeze  Active Green (-30С), 10кг</t>
  </si>
  <si>
    <t>Antifreeze  Active Green (-30С), 4,5кг</t>
  </si>
  <si>
    <t>Antifreeze  Active Green (-30С), 1кг x6</t>
  </si>
  <si>
    <t>Омивачі</t>
  </si>
  <si>
    <t>Winter Glass Cleaner -20 (ОКЕАН) кан. 4л (3,4кг) x3 ПЭТ</t>
  </si>
  <si>
    <t>49.65</t>
  </si>
  <si>
    <t>ТОСОЛ-СИНТЕЗ</t>
  </si>
  <si>
    <t>430101Н02</t>
  </si>
  <si>
    <t>ROSDOT 4 455г x25</t>
  </si>
  <si>
    <t>43.79</t>
  </si>
  <si>
    <t>430101Н03</t>
  </si>
  <si>
    <t>ROSDOT 4 910г x15</t>
  </si>
  <si>
    <t>85.90</t>
  </si>
  <si>
    <t>430104Н02</t>
  </si>
  <si>
    <t>Нева-М 455г x25</t>
  </si>
  <si>
    <t>30.50</t>
  </si>
  <si>
    <t>430104Н03</t>
  </si>
  <si>
    <t>Нева-М 910г x15</t>
  </si>
  <si>
    <t>59.85</t>
  </si>
  <si>
    <t>Felix DOT4 455г x25</t>
  </si>
  <si>
    <t>Felix DOT4 910г x15</t>
  </si>
  <si>
    <t>68.71</t>
  </si>
  <si>
    <t>DOT4 400г x25</t>
  </si>
  <si>
    <t>24.21</t>
  </si>
  <si>
    <t>DOT4 800г x15</t>
  </si>
  <si>
    <t>FELIX Carbox(червоний) 1кг x15</t>
  </si>
  <si>
    <t>47.72</t>
  </si>
  <si>
    <t>FELIX 35 EURO 1кг x15</t>
  </si>
  <si>
    <t>27.16</t>
  </si>
  <si>
    <t>FELIX 35 EURO 5кг x4</t>
  </si>
  <si>
    <t>121.27</t>
  </si>
  <si>
    <t>FELIX 35 EURO 10кг x2</t>
  </si>
  <si>
    <t>240.11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</si>
</sst>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73"/>
  <sheetViews>
    <sheetView tabSelected="1" topLeftCell="A2570" workbookViewId="0">
      <selection activeCell="C2579" sqref="C2579"/>
    </sheetView>
  </sheetViews>
  <sheetFormatPr defaultRowHeight="15"/>
  <cols>
    <col min="4" max="4" width="41.85546875" customWidth="1"/>
    <col min="5" max="5" width="30.5703125" customWidth="1"/>
    <col min="7" max="7" width="22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tr">
        <f>"0204406 "</f>
        <v xml:space="preserve">0204406 </v>
      </c>
      <c r="B2" t="s">
        <v>9</v>
      </c>
      <c r="C2" t="s">
        <v>10</v>
      </c>
      <c r="D2" t="s">
        <v>11</v>
      </c>
      <c r="E2">
        <v>2</v>
      </c>
      <c r="F2" t="s">
        <v>12</v>
      </c>
      <c r="G2" t="s">
        <v>9</v>
      </c>
      <c r="H2" t="s">
        <v>10</v>
      </c>
      <c r="I2" t="s">
        <v>13</v>
      </c>
    </row>
    <row r="3" spans="1:9">
      <c r="A3" t="str">
        <f>"0204407 "</f>
        <v xml:space="preserve">0204407 </v>
      </c>
      <c r="B3" t="s">
        <v>9</v>
      </c>
      <c r="C3" t="s">
        <v>14</v>
      </c>
      <c r="D3" t="s">
        <v>15</v>
      </c>
      <c r="E3">
        <v>3</v>
      </c>
      <c r="F3" t="s">
        <v>16</v>
      </c>
      <c r="G3" t="s">
        <v>9</v>
      </c>
      <c r="H3" t="s">
        <v>14</v>
      </c>
      <c r="I3" t="s">
        <v>17</v>
      </c>
    </row>
    <row r="4" spans="1:9">
      <c r="A4" t="str">
        <f>"0204114 "</f>
        <v xml:space="preserve">0204114 </v>
      </c>
      <c r="B4" t="s">
        <v>9</v>
      </c>
      <c r="C4" t="s">
        <v>18</v>
      </c>
      <c r="D4" t="s">
        <v>19</v>
      </c>
      <c r="E4" t="s">
        <v>20</v>
      </c>
      <c r="F4" t="s">
        <v>21</v>
      </c>
      <c r="G4" t="s">
        <v>9</v>
      </c>
      <c r="H4" t="s">
        <v>18</v>
      </c>
      <c r="I4" t="s">
        <v>22</v>
      </c>
    </row>
    <row r="5" spans="1:9">
      <c r="A5" t="str">
        <f>"0204104 "</f>
        <v xml:space="preserve">0204104 </v>
      </c>
      <c r="B5" t="s">
        <v>9</v>
      </c>
      <c r="C5" t="s">
        <v>23</v>
      </c>
      <c r="D5" t="s">
        <v>24</v>
      </c>
      <c r="E5" t="s">
        <v>20</v>
      </c>
      <c r="F5" t="s">
        <v>25</v>
      </c>
      <c r="G5" t="s">
        <v>9</v>
      </c>
      <c r="H5" t="s">
        <v>23</v>
      </c>
      <c r="I5" t="s">
        <v>26</v>
      </c>
    </row>
    <row r="6" spans="1:9">
      <c r="A6" t="str">
        <f>"0204105 "</f>
        <v xml:space="preserve">0204105 </v>
      </c>
      <c r="B6" t="s">
        <v>9</v>
      </c>
      <c r="C6" t="s">
        <v>27</v>
      </c>
      <c r="D6" t="s">
        <v>28</v>
      </c>
      <c r="E6" t="s">
        <v>20</v>
      </c>
      <c r="F6" t="s">
        <v>29</v>
      </c>
      <c r="G6" t="s">
        <v>9</v>
      </c>
      <c r="H6" t="s">
        <v>27</v>
      </c>
      <c r="I6" t="s">
        <v>26</v>
      </c>
    </row>
    <row r="7" spans="1:9">
      <c r="A7" t="str">
        <f>"0204116 "</f>
        <v xml:space="preserve">0204116 </v>
      </c>
      <c r="B7" t="s">
        <v>9</v>
      </c>
      <c r="C7" t="s">
        <v>30</v>
      </c>
      <c r="D7" t="s">
        <v>31</v>
      </c>
      <c r="E7">
        <v>4</v>
      </c>
      <c r="F7" t="s">
        <v>32</v>
      </c>
      <c r="G7" t="s">
        <v>9</v>
      </c>
      <c r="H7" t="s">
        <v>30</v>
      </c>
      <c r="I7" t="s">
        <v>33</v>
      </c>
    </row>
    <row r="8" spans="1:9">
      <c r="A8" t="str">
        <f>"0204112 "</f>
        <v xml:space="preserve">0204112 </v>
      </c>
      <c r="B8" t="s">
        <v>9</v>
      </c>
      <c r="C8" t="s">
        <v>34</v>
      </c>
      <c r="D8" t="s">
        <v>35</v>
      </c>
      <c r="E8" t="s">
        <v>20</v>
      </c>
      <c r="F8" t="s">
        <v>36</v>
      </c>
      <c r="G8" t="s">
        <v>9</v>
      </c>
      <c r="H8" t="s">
        <v>34</v>
      </c>
      <c r="I8" t="s">
        <v>37</v>
      </c>
    </row>
    <row r="9" spans="1:9">
      <c r="A9" t="str">
        <f>"0204113 "</f>
        <v xml:space="preserve">0204113 </v>
      </c>
      <c r="B9" t="s">
        <v>9</v>
      </c>
      <c r="C9" t="s">
        <v>38</v>
      </c>
      <c r="D9" t="s">
        <v>39</v>
      </c>
      <c r="E9">
        <v>1</v>
      </c>
      <c r="F9" t="s">
        <v>40</v>
      </c>
      <c r="G9" t="s">
        <v>9</v>
      </c>
      <c r="H9" t="s">
        <v>38</v>
      </c>
      <c r="I9" t="s">
        <v>37</v>
      </c>
    </row>
    <row r="10" spans="1:9">
      <c r="A10" t="str">
        <f>"0038484 "</f>
        <v xml:space="preserve">0038484 </v>
      </c>
      <c r="B10" t="s">
        <v>9</v>
      </c>
      <c r="C10" t="s">
        <v>41</v>
      </c>
      <c r="D10" t="s">
        <v>42</v>
      </c>
      <c r="E10" t="s">
        <v>20</v>
      </c>
      <c r="F10" t="s">
        <v>43</v>
      </c>
      <c r="G10" t="s">
        <v>9</v>
      </c>
      <c r="H10" t="s">
        <v>41</v>
      </c>
      <c r="I10" t="s">
        <v>44</v>
      </c>
    </row>
    <row r="11" spans="1:9">
      <c r="A11" t="str">
        <f>"0007545 "</f>
        <v xml:space="preserve">0007545 </v>
      </c>
      <c r="B11" t="s">
        <v>9</v>
      </c>
      <c r="C11" t="s">
        <v>45</v>
      </c>
      <c r="D11" t="s">
        <v>46</v>
      </c>
      <c r="E11">
        <v>3</v>
      </c>
      <c r="F11" t="s">
        <v>47</v>
      </c>
      <c r="G11" t="s">
        <v>9</v>
      </c>
      <c r="H11" t="s">
        <v>45</v>
      </c>
      <c r="I11" t="s">
        <v>48</v>
      </c>
    </row>
    <row r="12" spans="1:9">
      <c r="A12" t="str">
        <f>"0067702 "</f>
        <v xml:space="preserve">0067702 </v>
      </c>
      <c r="B12" t="s">
        <v>9</v>
      </c>
      <c r="C12" t="s">
        <v>49</v>
      </c>
      <c r="D12" t="s">
        <v>50</v>
      </c>
      <c r="E12">
        <v>2</v>
      </c>
      <c r="F12" t="s">
        <v>51</v>
      </c>
      <c r="G12" t="s">
        <v>9</v>
      </c>
      <c r="H12" t="s">
        <v>49</v>
      </c>
      <c r="I12" t="s">
        <v>48</v>
      </c>
    </row>
    <row r="13" spans="1:9">
      <c r="A13" t="str">
        <f>"0007526 "</f>
        <v xml:space="preserve">0007526 </v>
      </c>
      <c r="B13" t="s">
        <v>9</v>
      </c>
      <c r="C13" t="s">
        <v>52</v>
      </c>
      <c r="D13" t="s">
        <v>53</v>
      </c>
      <c r="E13">
        <v>2</v>
      </c>
      <c r="F13" t="s">
        <v>54</v>
      </c>
      <c r="G13" t="s">
        <v>9</v>
      </c>
      <c r="H13" t="s">
        <v>52</v>
      </c>
      <c r="I13" t="s">
        <v>13</v>
      </c>
    </row>
    <row r="14" spans="1:9">
      <c r="A14" t="str">
        <f>"0007539 "</f>
        <v xml:space="preserve">0007539 </v>
      </c>
      <c r="B14" t="s">
        <v>9</v>
      </c>
      <c r="C14" t="s">
        <v>55</v>
      </c>
      <c r="D14" t="s">
        <v>56</v>
      </c>
      <c r="E14" t="s">
        <v>20</v>
      </c>
      <c r="F14" t="s">
        <v>57</v>
      </c>
      <c r="G14" t="s">
        <v>9</v>
      </c>
      <c r="H14" t="s">
        <v>55</v>
      </c>
      <c r="I14" t="s">
        <v>58</v>
      </c>
    </row>
    <row r="15" spans="1:9">
      <c r="A15" t="str">
        <f>"0007540 "</f>
        <v xml:space="preserve">0007540 </v>
      </c>
      <c r="B15" t="s">
        <v>9</v>
      </c>
      <c r="C15" t="s">
        <v>59</v>
      </c>
      <c r="D15" t="s">
        <v>60</v>
      </c>
      <c r="E15" t="s">
        <v>20</v>
      </c>
      <c r="F15" t="s">
        <v>61</v>
      </c>
      <c r="G15" t="s">
        <v>9</v>
      </c>
      <c r="H15" t="s">
        <v>59</v>
      </c>
      <c r="I15" t="s">
        <v>58</v>
      </c>
    </row>
    <row r="16" spans="1:9">
      <c r="A16" t="str">
        <f>"0038925 "</f>
        <v xml:space="preserve">0038925 </v>
      </c>
      <c r="B16" t="s">
        <v>9</v>
      </c>
      <c r="C16" t="s">
        <v>62</v>
      </c>
      <c r="D16" t="s">
        <v>63</v>
      </c>
      <c r="E16">
        <v>1</v>
      </c>
      <c r="F16" t="s">
        <v>64</v>
      </c>
      <c r="G16" t="s">
        <v>9</v>
      </c>
      <c r="H16" t="s">
        <v>62</v>
      </c>
      <c r="I16" t="s">
        <v>48</v>
      </c>
    </row>
    <row r="17" spans="1:9">
      <c r="A17" t="str">
        <f>"0203632 "</f>
        <v xml:space="preserve">0203632 </v>
      </c>
      <c r="B17" t="s">
        <v>9</v>
      </c>
      <c r="C17" t="s">
        <v>65</v>
      </c>
      <c r="D17" t="s">
        <v>66</v>
      </c>
      <c r="E17">
        <v>2</v>
      </c>
      <c r="F17" t="s">
        <v>67</v>
      </c>
      <c r="G17" t="s">
        <v>9</v>
      </c>
      <c r="H17" t="s">
        <v>65</v>
      </c>
      <c r="I17" t="s">
        <v>48</v>
      </c>
    </row>
    <row r="18" spans="1:9">
      <c r="A18" t="str">
        <f>"0007543 "</f>
        <v xml:space="preserve">0007543 </v>
      </c>
      <c r="B18" t="s">
        <v>9</v>
      </c>
      <c r="C18" t="s">
        <v>68</v>
      </c>
      <c r="D18" t="s">
        <v>69</v>
      </c>
      <c r="E18" t="s">
        <v>20</v>
      </c>
      <c r="F18" t="s">
        <v>70</v>
      </c>
      <c r="G18" t="s">
        <v>9</v>
      </c>
      <c r="H18" t="s">
        <v>68</v>
      </c>
      <c r="I18" t="s">
        <v>48</v>
      </c>
    </row>
    <row r="19" spans="1:9">
      <c r="A19" t="str">
        <f>"0007544 "</f>
        <v xml:space="preserve">0007544 </v>
      </c>
      <c r="B19" t="s">
        <v>9</v>
      </c>
      <c r="C19" t="s">
        <v>71</v>
      </c>
      <c r="D19" t="s">
        <v>72</v>
      </c>
      <c r="E19" t="s">
        <v>20</v>
      </c>
      <c r="F19" t="s">
        <v>73</v>
      </c>
      <c r="G19" t="s">
        <v>9</v>
      </c>
      <c r="H19" t="s">
        <v>71</v>
      </c>
      <c r="I19" t="s">
        <v>48</v>
      </c>
    </row>
    <row r="20" spans="1:9">
      <c r="A20" t="str">
        <f>"0007525 "</f>
        <v xml:space="preserve">0007525 </v>
      </c>
      <c r="B20" t="s">
        <v>9</v>
      </c>
      <c r="C20" t="s">
        <v>74</v>
      </c>
      <c r="D20" t="s">
        <v>75</v>
      </c>
      <c r="E20" t="s">
        <v>20</v>
      </c>
      <c r="F20" t="s">
        <v>76</v>
      </c>
      <c r="G20" t="s">
        <v>9</v>
      </c>
      <c r="H20" t="s">
        <v>74</v>
      </c>
      <c r="I20" t="s">
        <v>13</v>
      </c>
    </row>
    <row r="21" spans="1:9">
      <c r="A21" t="str">
        <f>"0203630 "</f>
        <v xml:space="preserve">0203630 </v>
      </c>
      <c r="B21" t="s">
        <v>9</v>
      </c>
      <c r="C21" t="s">
        <v>77</v>
      </c>
      <c r="D21" t="s">
        <v>78</v>
      </c>
      <c r="E21" t="s">
        <v>20</v>
      </c>
      <c r="F21" t="s">
        <v>79</v>
      </c>
      <c r="G21" t="s">
        <v>9</v>
      </c>
      <c r="H21" t="s">
        <v>77</v>
      </c>
      <c r="I21" t="s">
        <v>13</v>
      </c>
    </row>
    <row r="22" spans="1:9">
      <c r="A22" t="str">
        <f>"0007523 "</f>
        <v xml:space="preserve">0007523 </v>
      </c>
      <c r="B22" t="s">
        <v>9</v>
      </c>
      <c r="C22" t="s">
        <v>80</v>
      </c>
      <c r="D22" t="s">
        <v>81</v>
      </c>
      <c r="E22" t="s">
        <v>20</v>
      </c>
      <c r="F22" t="s">
        <v>82</v>
      </c>
      <c r="G22" t="s">
        <v>9</v>
      </c>
      <c r="H22" t="s">
        <v>80</v>
      </c>
      <c r="I22" t="s">
        <v>13</v>
      </c>
    </row>
    <row r="23" spans="1:9">
      <c r="A23" t="str">
        <f>"0007534 "</f>
        <v xml:space="preserve">0007534 </v>
      </c>
      <c r="B23" t="s">
        <v>9</v>
      </c>
      <c r="C23" t="s">
        <v>83</v>
      </c>
      <c r="D23" t="s">
        <v>84</v>
      </c>
      <c r="E23">
        <v>1</v>
      </c>
      <c r="F23" t="s">
        <v>85</v>
      </c>
      <c r="G23" t="s">
        <v>9</v>
      </c>
      <c r="H23" t="s">
        <v>83</v>
      </c>
      <c r="I23" t="s">
        <v>17</v>
      </c>
    </row>
    <row r="24" spans="1:9">
      <c r="A24" t="str">
        <f>"0007533 "</f>
        <v xml:space="preserve">0007533 </v>
      </c>
      <c r="B24" t="s">
        <v>9</v>
      </c>
      <c r="C24" t="s">
        <v>86</v>
      </c>
      <c r="D24" t="s">
        <v>87</v>
      </c>
      <c r="E24" t="s">
        <v>20</v>
      </c>
      <c r="F24" t="s">
        <v>88</v>
      </c>
      <c r="G24" t="s">
        <v>9</v>
      </c>
      <c r="H24" t="s">
        <v>86</v>
      </c>
      <c r="I24" t="s">
        <v>17</v>
      </c>
    </row>
    <row r="25" spans="1:9">
      <c r="A25" t="str">
        <f>"0203631 "</f>
        <v xml:space="preserve">0203631 </v>
      </c>
      <c r="B25" t="s">
        <v>9</v>
      </c>
      <c r="C25" t="s">
        <v>89</v>
      </c>
      <c r="D25" t="s">
        <v>90</v>
      </c>
      <c r="E25" t="s">
        <v>20</v>
      </c>
      <c r="F25" t="s">
        <v>91</v>
      </c>
      <c r="G25" t="s">
        <v>9</v>
      </c>
      <c r="H25" t="s">
        <v>89</v>
      </c>
      <c r="I25" t="s">
        <v>17</v>
      </c>
    </row>
    <row r="26" spans="1:9">
      <c r="A26" t="str">
        <f>"0007532 "</f>
        <v xml:space="preserve">0007532 </v>
      </c>
      <c r="B26" t="s">
        <v>9</v>
      </c>
      <c r="C26" t="s">
        <v>92</v>
      </c>
      <c r="D26" t="s">
        <v>93</v>
      </c>
      <c r="E26" t="s">
        <v>20</v>
      </c>
      <c r="F26" t="s">
        <v>94</v>
      </c>
      <c r="G26" t="s">
        <v>9</v>
      </c>
      <c r="H26" t="s">
        <v>92</v>
      </c>
      <c r="I26" t="s">
        <v>17</v>
      </c>
    </row>
    <row r="27" spans="1:9">
      <c r="A27" t="str">
        <f>"0087960 "</f>
        <v xml:space="preserve">0087960 </v>
      </c>
      <c r="B27" t="s">
        <v>9</v>
      </c>
      <c r="C27" t="s">
        <v>95</v>
      </c>
      <c r="D27" t="s">
        <v>96</v>
      </c>
      <c r="E27">
        <v>1</v>
      </c>
      <c r="F27" t="s">
        <v>97</v>
      </c>
      <c r="G27" t="s">
        <v>9</v>
      </c>
      <c r="H27" t="s">
        <v>95</v>
      </c>
      <c r="I27" t="s">
        <v>98</v>
      </c>
    </row>
    <row r="28" spans="1:9">
      <c r="A28" t="str">
        <f>"0088254 "</f>
        <v xml:space="preserve">0088254 </v>
      </c>
      <c r="B28" t="s">
        <v>9</v>
      </c>
      <c r="C28" t="s">
        <v>99</v>
      </c>
      <c r="D28" t="s">
        <v>100</v>
      </c>
      <c r="E28" t="s">
        <v>20</v>
      </c>
      <c r="F28" t="s">
        <v>101</v>
      </c>
      <c r="G28" t="s">
        <v>9</v>
      </c>
      <c r="H28" t="s">
        <v>99</v>
      </c>
      <c r="I28" t="s">
        <v>98</v>
      </c>
    </row>
    <row r="29" spans="1:9">
      <c r="A29" t="str">
        <f>"0020228 "</f>
        <v xml:space="preserve">0020228 </v>
      </c>
      <c r="B29" t="s">
        <v>102</v>
      </c>
      <c r="C29" t="str">
        <f>"0020228"</f>
        <v>0020228</v>
      </c>
      <c r="D29" t="s">
        <v>103</v>
      </c>
      <c r="E29" t="s">
        <v>20</v>
      </c>
      <c r="F29" t="s">
        <v>104</v>
      </c>
      <c r="G29" t="s">
        <v>102</v>
      </c>
      <c r="H29" t="str">
        <f>"0020228"</f>
        <v>0020228</v>
      </c>
    </row>
    <row r="30" spans="1:9">
      <c r="A30" t="str">
        <f>"0021008 "</f>
        <v xml:space="preserve">0021008 </v>
      </c>
      <c r="B30" t="s">
        <v>102</v>
      </c>
      <c r="C30" t="str">
        <f>"0021008"</f>
        <v>0021008</v>
      </c>
      <c r="D30" t="s">
        <v>105</v>
      </c>
      <c r="E30" t="s">
        <v>20</v>
      </c>
      <c r="F30" t="s">
        <v>106</v>
      </c>
      <c r="G30" t="s">
        <v>102</v>
      </c>
      <c r="H30" t="str">
        <f>"0021008"</f>
        <v>0021008</v>
      </c>
    </row>
    <row r="31" spans="1:9">
      <c r="A31" t="str">
        <f>"0021010 "</f>
        <v xml:space="preserve">0021010 </v>
      </c>
      <c r="B31" t="s">
        <v>102</v>
      </c>
      <c r="C31" t="str">
        <f>"0021010"</f>
        <v>0021010</v>
      </c>
      <c r="D31" t="s">
        <v>107</v>
      </c>
      <c r="E31" t="s">
        <v>20</v>
      </c>
      <c r="F31" t="s">
        <v>108</v>
      </c>
      <c r="G31" t="s">
        <v>102</v>
      </c>
      <c r="H31" t="str">
        <f>"0021010"</f>
        <v>0021010</v>
      </c>
    </row>
    <row r="32" spans="1:9">
      <c r="A32" t="str">
        <f>"0021011 "</f>
        <v xml:space="preserve">0021011 </v>
      </c>
      <c r="B32" t="s">
        <v>102</v>
      </c>
      <c r="C32" t="str">
        <f>"0021011"</f>
        <v>0021011</v>
      </c>
      <c r="D32" t="s">
        <v>109</v>
      </c>
      <c r="E32">
        <v>4</v>
      </c>
      <c r="F32" t="s">
        <v>110</v>
      </c>
      <c r="G32" t="s">
        <v>102</v>
      </c>
      <c r="H32" t="str">
        <f>"0021011"</f>
        <v>0021011</v>
      </c>
    </row>
    <row r="33" spans="1:9">
      <c r="A33" t="str">
        <f>"0021012 "</f>
        <v xml:space="preserve">0021012 </v>
      </c>
      <c r="B33" t="s">
        <v>102</v>
      </c>
      <c r="C33" t="str">
        <f>"0021012"</f>
        <v>0021012</v>
      </c>
      <c r="D33" t="s">
        <v>111</v>
      </c>
      <c r="E33" t="s">
        <v>20</v>
      </c>
      <c r="F33" t="s">
        <v>112</v>
      </c>
      <c r="G33" t="s">
        <v>102</v>
      </c>
      <c r="H33" t="str">
        <f>"0021012"</f>
        <v>0021012</v>
      </c>
    </row>
    <row r="34" spans="1:9">
      <c r="A34" t="str">
        <f>"0033845 "</f>
        <v xml:space="preserve">0033845 </v>
      </c>
      <c r="B34" t="s">
        <v>102</v>
      </c>
      <c r="C34" t="str">
        <f>"0033845"</f>
        <v>0033845</v>
      </c>
      <c r="D34" t="s">
        <v>113</v>
      </c>
      <c r="E34" t="s">
        <v>20</v>
      </c>
      <c r="F34" t="s">
        <v>114</v>
      </c>
      <c r="G34" t="s">
        <v>102</v>
      </c>
      <c r="H34" t="str">
        <f>"0033845"</f>
        <v>0033845</v>
      </c>
    </row>
    <row r="35" spans="1:9">
      <c r="A35" t="str">
        <f>"0216008 "</f>
        <v xml:space="preserve">0216008 </v>
      </c>
      <c r="B35" t="s">
        <v>115</v>
      </c>
      <c r="C35" t="s">
        <v>116</v>
      </c>
      <c r="D35" t="s">
        <v>117</v>
      </c>
      <c r="E35">
        <v>5</v>
      </c>
      <c r="F35" t="s">
        <v>118</v>
      </c>
      <c r="G35" t="s">
        <v>119</v>
      </c>
      <c r="H35" t="s">
        <v>116</v>
      </c>
      <c r="I35" t="s">
        <v>120</v>
      </c>
    </row>
    <row r="36" spans="1:9">
      <c r="A36" t="str">
        <f>"0216039 "</f>
        <v xml:space="preserve">0216039 </v>
      </c>
      <c r="B36" t="s">
        <v>115</v>
      </c>
      <c r="C36" t="s">
        <v>121</v>
      </c>
      <c r="D36" t="s">
        <v>122</v>
      </c>
      <c r="E36">
        <v>2</v>
      </c>
      <c r="F36" t="s">
        <v>123</v>
      </c>
      <c r="G36" t="s">
        <v>119</v>
      </c>
      <c r="H36" t="s">
        <v>121</v>
      </c>
      <c r="I36" t="s">
        <v>124</v>
      </c>
    </row>
    <row r="37" spans="1:9">
      <c r="A37" t="str">
        <f>"0216057 "</f>
        <v xml:space="preserve">0216057 </v>
      </c>
      <c r="B37" t="s">
        <v>115</v>
      </c>
      <c r="C37" t="s">
        <v>125</v>
      </c>
      <c r="D37" t="s">
        <v>126</v>
      </c>
      <c r="E37">
        <v>1</v>
      </c>
      <c r="F37" t="s">
        <v>127</v>
      </c>
      <c r="G37" t="s">
        <v>119</v>
      </c>
      <c r="H37" t="s">
        <v>125</v>
      </c>
      <c r="I37" t="s">
        <v>128</v>
      </c>
    </row>
    <row r="38" spans="1:9">
      <c r="A38" t="str">
        <f>"0215958 "</f>
        <v xml:space="preserve">0215958 </v>
      </c>
      <c r="B38" t="s">
        <v>115</v>
      </c>
      <c r="C38" t="s">
        <v>129</v>
      </c>
      <c r="D38" t="s">
        <v>130</v>
      </c>
      <c r="E38">
        <v>1</v>
      </c>
      <c r="F38" t="s">
        <v>131</v>
      </c>
      <c r="G38" t="s">
        <v>119</v>
      </c>
      <c r="H38" t="s">
        <v>129</v>
      </c>
      <c r="I38" t="s">
        <v>132</v>
      </c>
    </row>
    <row r="39" spans="1:9">
      <c r="A39" t="str">
        <f>"0215972 "</f>
        <v xml:space="preserve">0215972 </v>
      </c>
      <c r="B39" t="s">
        <v>115</v>
      </c>
      <c r="C39" t="s">
        <v>133</v>
      </c>
      <c r="D39" t="s">
        <v>134</v>
      </c>
      <c r="E39">
        <v>1</v>
      </c>
      <c r="F39" t="s">
        <v>135</v>
      </c>
      <c r="G39" t="s">
        <v>119</v>
      </c>
      <c r="H39" t="s">
        <v>133</v>
      </c>
      <c r="I39" t="s">
        <v>136</v>
      </c>
    </row>
    <row r="40" spans="1:9">
      <c r="A40" t="str">
        <f>"0215984 "</f>
        <v xml:space="preserve">0215984 </v>
      </c>
      <c r="B40" t="s">
        <v>115</v>
      </c>
      <c r="C40" t="s">
        <v>137</v>
      </c>
      <c r="D40" t="s">
        <v>138</v>
      </c>
      <c r="E40">
        <v>2</v>
      </c>
      <c r="F40" t="s">
        <v>139</v>
      </c>
      <c r="G40" t="s">
        <v>119</v>
      </c>
      <c r="H40" t="s">
        <v>137</v>
      </c>
      <c r="I40" t="s">
        <v>140</v>
      </c>
    </row>
    <row r="41" spans="1:9">
      <c r="A41" t="str">
        <f>"0215986 "</f>
        <v xml:space="preserve">0215986 </v>
      </c>
      <c r="B41" t="s">
        <v>115</v>
      </c>
      <c r="C41" t="s">
        <v>141</v>
      </c>
      <c r="D41" t="s">
        <v>142</v>
      </c>
      <c r="E41">
        <v>2</v>
      </c>
      <c r="F41" t="s">
        <v>143</v>
      </c>
      <c r="G41" t="s">
        <v>119</v>
      </c>
      <c r="H41" t="s">
        <v>141</v>
      </c>
      <c r="I41" t="s">
        <v>144</v>
      </c>
    </row>
    <row r="42" spans="1:9">
      <c r="A42" t="str">
        <f>"0215996 "</f>
        <v xml:space="preserve">0215996 </v>
      </c>
      <c r="B42" t="s">
        <v>115</v>
      </c>
      <c r="C42" t="s">
        <v>145</v>
      </c>
      <c r="D42" t="s">
        <v>146</v>
      </c>
      <c r="E42">
        <v>2</v>
      </c>
      <c r="F42" t="s">
        <v>147</v>
      </c>
      <c r="G42" t="s">
        <v>119</v>
      </c>
      <c r="H42" t="s">
        <v>145</v>
      </c>
      <c r="I42" t="s">
        <v>148</v>
      </c>
    </row>
    <row r="43" spans="1:9">
      <c r="A43" t="str">
        <f>"0215997 "</f>
        <v xml:space="preserve">0215997 </v>
      </c>
      <c r="B43" t="s">
        <v>115</v>
      </c>
      <c r="C43" t="s">
        <v>149</v>
      </c>
      <c r="D43" t="s">
        <v>150</v>
      </c>
      <c r="E43">
        <v>1</v>
      </c>
      <c r="F43" t="s">
        <v>151</v>
      </c>
      <c r="G43" t="s">
        <v>119</v>
      </c>
      <c r="H43" t="s">
        <v>149</v>
      </c>
      <c r="I43" t="s">
        <v>152</v>
      </c>
    </row>
    <row r="44" spans="1:9">
      <c r="A44" t="str">
        <f>"0215524 "</f>
        <v xml:space="preserve">0215524 </v>
      </c>
      <c r="B44" t="s">
        <v>115</v>
      </c>
      <c r="C44" t="s">
        <v>153</v>
      </c>
      <c r="D44" t="s">
        <v>154</v>
      </c>
      <c r="E44">
        <v>2</v>
      </c>
      <c r="F44" t="s">
        <v>155</v>
      </c>
      <c r="G44" t="s">
        <v>119</v>
      </c>
      <c r="H44" t="s">
        <v>153</v>
      </c>
      <c r="I44" t="s">
        <v>156</v>
      </c>
    </row>
    <row r="45" spans="1:9">
      <c r="A45" t="str">
        <f>"0215528 "</f>
        <v xml:space="preserve">0215528 </v>
      </c>
      <c r="B45" t="s">
        <v>115</v>
      </c>
      <c r="C45" t="s">
        <v>157</v>
      </c>
      <c r="D45" t="s">
        <v>158</v>
      </c>
      <c r="E45" t="s">
        <v>20</v>
      </c>
      <c r="F45" t="s">
        <v>159</v>
      </c>
      <c r="G45" t="s">
        <v>119</v>
      </c>
      <c r="H45" t="s">
        <v>157</v>
      </c>
      <c r="I45" t="s">
        <v>160</v>
      </c>
    </row>
    <row r="46" spans="1:9">
      <c r="A46" t="str">
        <f>"0215530 "</f>
        <v xml:space="preserve">0215530 </v>
      </c>
      <c r="B46" t="s">
        <v>115</v>
      </c>
      <c r="C46" t="s">
        <v>161</v>
      </c>
      <c r="D46" t="s">
        <v>162</v>
      </c>
      <c r="E46">
        <v>1</v>
      </c>
      <c r="F46" t="s">
        <v>163</v>
      </c>
      <c r="G46" t="s">
        <v>119</v>
      </c>
      <c r="H46" t="s">
        <v>161</v>
      </c>
      <c r="I46" t="s">
        <v>164</v>
      </c>
    </row>
    <row r="47" spans="1:9">
      <c r="A47" t="str">
        <f>"0215531 "</f>
        <v xml:space="preserve">0215531 </v>
      </c>
      <c r="B47" t="s">
        <v>115</v>
      </c>
      <c r="C47" t="s">
        <v>165</v>
      </c>
      <c r="D47" t="s">
        <v>166</v>
      </c>
      <c r="E47">
        <v>2</v>
      </c>
      <c r="F47" t="s">
        <v>167</v>
      </c>
      <c r="G47" t="s">
        <v>119</v>
      </c>
      <c r="H47" t="s">
        <v>165</v>
      </c>
      <c r="I47" t="s">
        <v>168</v>
      </c>
    </row>
    <row r="48" spans="1:9">
      <c r="A48" t="str">
        <f>"0215536 "</f>
        <v xml:space="preserve">0215536 </v>
      </c>
      <c r="B48" t="s">
        <v>115</v>
      </c>
      <c r="C48" t="s">
        <v>169</v>
      </c>
      <c r="D48" t="s">
        <v>170</v>
      </c>
      <c r="E48">
        <v>2</v>
      </c>
      <c r="F48" t="s">
        <v>171</v>
      </c>
      <c r="G48" t="s">
        <v>119</v>
      </c>
      <c r="H48" t="s">
        <v>169</v>
      </c>
      <c r="I48" t="s">
        <v>172</v>
      </c>
    </row>
    <row r="49" spans="1:9">
      <c r="A49" t="str">
        <f>"0215543 "</f>
        <v xml:space="preserve">0215543 </v>
      </c>
      <c r="B49" t="s">
        <v>115</v>
      </c>
      <c r="C49" t="s">
        <v>173</v>
      </c>
      <c r="D49" t="s">
        <v>174</v>
      </c>
      <c r="E49">
        <v>3</v>
      </c>
      <c r="F49" t="s">
        <v>175</v>
      </c>
      <c r="G49" t="s">
        <v>119</v>
      </c>
      <c r="H49" t="s">
        <v>173</v>
      </c>
      <c r="I49" t="s">
        <v>176</v>
      </c>
    </row>
    <row r="50" spans="1:9">
      <c r="A50" t="str">
        <f>"0215548 "</f>
        <v xml:space="preserve">0215548 </v>
      </c>
      <c r="B50" t="s">
        <v>115</v>
      </c>
      <c r="C50" t="s">
        <v>177</v>
      </c>
      <c r="D50" t="s">
        <v>178</v>
      </c>
      <c r="E50">
        <v>2</v>
      </c>
      <c r="F50" t="s">
        <v>179</v>
      </c>
      <c r="G50" t="s">
        <v>119</v>
      </c>
      <c r="H50" t="s">
        <v>177</v>
      </c>
      <c r="I50" t="s">
        <v>180</v>
      </c>
    </row>
    <row r="51" spans="1:9">
      <c r="A51" t="str">
        <f>"0215565 "</f>
        <v xml:space="preserve">0215565 </v>
      </c>
      <c r="B51" t="s">
        <v>115</v>
      </c>
      <c r="C51" t="s">
        <v>181</v>
      </c>
      <c r="D51" t="s">
        <v>182</v>
      </c>
      <c r="E51">
        <v>5</v>
      </c>
      <c r="F51" t="s">
        <v>118</v>
      </c>
      <c r="G51" t="s">
        <v>119</v>
      </c>
      <c r="H51" t="s">
        <v>181</v>
      </c>
      <c r="I51" t="s">
        <v>183</v>
      </c>
    </row>
    <row r="52" spans="1:9">
      <c r="A52" t="str">
        <f>"0215575 "</f>
        <v xml:space="preserve">0215575 </v>
      </c>
      <c r="B52" t="s">
        <v>115</v>
      </c>
      <c r="C52" t="s">
        <v>184</v>
      </c>
      <c r="D52" t="s">
        <v>185</v>
      </c>
      <c r="E52">
        <v>2</v>
      </c>
      <c r="F52" t="s">
        <v>186</v>
      </c>
      <c r="G52" t="s">
        <v>119</v>
      </c>
      <c r="H52" t="s">
        <v>184</v>
      </c>
      <c r="I52" t="s">
        <v>187</v>
      </c>
    </row>
    <row r="53" spans="1:9">
      <c r="A53" t="str">
        <f>"0215580 "</f>
        <v xml:space="preserve">0215580 </v>
      </c>
      <c r="B53" t="s">
        <v>115</v>
      </c>
      <c r="C53" t="s">
        <v>188</v>
      </c>
      <c r="D53" t="s">
        <v>189</v>
      </c>
      <c r="E53" t="s">
        <v>20</v>
      </c>
      <c r="F53" t="s">
        <v>190</v>
      </c>
      <c r="G53" t="s">
        <v>119</v>
      </c>
      <c r="H53" t="s">
        <v>188</v>
      </c>
      <c r="I53" t="s">
        <v>191</v>
      </c>
    </row>
    <row r="54" spans="1:9">
      <c r="A54" t="str">
        <f>"0215587 "</f>
        <v xml:space="preserve">0215587 </v>
      </c>
      <c r="B54" t="s">
        <v>115</v>
      </c>
      <c r="C54" t="s">
        <v>192</v>
      </c>
      <c r="D54" t="s">
        <v>193</v>
      </c>
      <c r="E54">
        <v>2</v>
      </c>
      <c r="F54" t="s">
        <v>194</v>
      </c>
      <c r="G54" t="s">
        <v>119</v>
      </c>
      <c r="H54" t="s">
        <v>192</v>
      </c>
      <c r="I54" t="s">
        <v>195</v>
      </c>
    </row>
    <row r="55" spans="1:9">
      <c r="A55" t="str">
        <f>"0215588 "</f>
        <v xml:space="preserve">0215588 </v>
      </c>
      <c r="B55" t="s">
        <v>115</v>
      </c>
      <c r="C55" t="s">
        <v>196</v>
      </c>
      <c r="D55" t="s">
        <v>197</v>
      </c>
      <c r="E55">
        <v>5</v>
      </c>
      <c r="F55" t="s">
        <v>163</v>
      </c>
      <c r="G55" t="s">
        <v>119</v>
      </c>
      <c r="H55" t="s">
        <v>196</v>
      </c>
      <c r="I55" t="s">
        <v>198</v>
      </c>
    </row>
    <row r="56" spans="1:9">
      <c r="A56" t="str">
        <f>"0215605 "</f>
        <v xml:space="preserve">0215605 </v>
      </c>
      <c r="B56" t="s">
        <v>115</v>
      </c>
      <c r="C56" t="s">
        <v>199</v>
      </c>
      <c r="D56" t="s">
        <v>200</v>
      </c>
      <c r="E56">
        <v>1</v>
      </c>
      <c r="F56" t="s">
        <v>201</v>
      </c>
      <c r="G56" t="s">
        <v>119</v>
      </c>
      <c r="H56" t="s">
        <v>199</v>
      </c>
      <c r="I56" t="s">
        <v>202</v>
      </c>
    </row>
    <row r="57" spans="1:9">
      <c r="A57" t="str">
        <f>"0215607 "</f>
        <v xml:space="preserve">0215607 </v>
      </c>
      <c r="B57" t="s">
        <v>115</v>
      </c>
      <c r="C57" t="s">
        <v>203</v>
      </c>
      <c r="D57" t="s">
        <v>204</v>
      </c>
      <c r="E57">
        <v>1</v>
      </c>
      <c r="F57" t="s">
        <v>205</v>
      </c>
      <c r="G57" t="s">
        <v>119</v>
      </c>
      <c r="H57" t="s">
        <v>203</v>
      </c>
      <c r="I57" t="s">
        <v>206</v>
      </c>
    </row>
    <row r="58" spans="1:9">
      <c r="A58" t="str">
        <f>"0215611 "</f>
        <v xml:space="preserve">0215611 </v>
      </c>
      <c r="B58" t="s">
        <v>115</v>
      </c>
      <c r="C58" t="s">
        <v>207</v>
      </c>
      <c r="D58" t="s">
        <v>208</v>
      </c>
      <c r="E58">
        <v>4</v>
      </c>
      <c r="F58" t="s">
        <v>209</v>
      </c>
      <c r="G58" t="s">
        <v>119</v>
      </c>
      <c r="H58" t="s">
        <v>207</v>
      </c>
      <c r="I58" t="s">
        <v>210</v>
      </c>
    </row>
    <row r="59" spans="1:9">
      <c r="A59" t="str">
        <f>"0215623 "</f>
        <v xml:space="preserve">0215623 </v>
      </c>
      <c r="B59" t="s">
        <v>115</v>
      </c>
      <c r="C59" t="s">
        <v>211</v>
      </c>
      <c r="D59" t="s">
        <v>212</v>
      </c>
      <c r="E59">
        <v>2</v>
      </c>
      <c r="F59" t="s">
        <v>213</v>
      </c>
      <c r="G59" t="s">
        <v>119</v>
      </c>
      <c r="H59" t="s">
        <v>211</v>
      </c>
      <c r="I59" t="s">
        <v>214</v>
      </c>
    </row>
    <row r="60" spans="1:9">
      <c r="A60" t="str">
        <f>"0215625 "</f>
        <v xml:space="preserve">0215625 </v>
      </c>
      <c r="B60" t="s">
        <v>115</v>
      </c>
      <c r="C60" t="s">
        <v>215</v>
      </c>
      <c r="D60" t="s">
        <v>216</v>
      </c>
      <c r="E60">
        <v>2</v>
      </c>
      <c r="F60" t="s">
        <v>217</v>
      </c>
      <c r="G60" t="s">
        <v>119</v>
      </c>
      <c r="H60" t="s">
        <v>215</v>
      </c>
      <c r="I60" t="s">
        <v>218</v>
      </c>
    </row>
    <row r="61" spans="1:9">
      <c r="A61" t="str">
        <f>"0215630 "</f>
        <v xml:space="preserve">0215630 </v>
      </c>
      <c r="B61" t="s">
        <v>115</v>
      </c>
      <c r="C61" t="s">
        <v>219</v>
      </c>
      <c r="D61" t="s">
        <v>220</v>
      </c>
      <c r="E61">
        <v>2</v>
      </c>
      <c r="F61" t="s">
        <v>221</v>
      </c>
      <c r="G61" t="s">
        <v>119</v>
      </c>
      <c r="H61" t="s">
        <v>219</v>
      </c>
      <c r="I61" t="s">
        <v>222</v>
      </c>
    </row>
    <row r="62" spans="1:9">
      <c r="A62" t="str">
        <f>"0215635 "</f>
        <v xml:space="preserve">0215635 </v>
      </c>
      <c r="B62" t="s">
        <v>115</v>
      </c>
      <c r="C62" t="s">
        <v>223</v>
      </c>
      <c r="D62" t="s">
        <v>224</v>
      </c>
      <c r="E62">
        <v>2</v>
      </c>
      <c r="F62" t="s">
        <v>221</v>
      </c>
      <c r="G62" t="s">
        <v>119</v>
      </c>
      <c r="H62" t="s">
        <v>223</v>
      </c>
      <c r="I62" t="s">
        <v>225</v>
      </c>
    </row>
    <row r="63" spans="1:9">
      <c r="A63" t="str">
        <f>"0215642 "</f>
        <v xml:space="preserve">0215642 </v>
      </c>
      <c r="B63" t="s">
        <v>115</v>
      </c>
      <c r="C63" t="s">
        <v>226</v>
      </c>
      <c r="D63" t="s">
        <v>227</v>
      </c>
      <c r="E63">
        <v>2</v>
      </c>
      <c r="F63" t="s">
        <v>228</v>
      </c>
      <c r="G63" t="s">
        <v>119</v>
      </c>
      <c r="H63" t="s">
        <v>226</v>
      </c>
      <c r="I63" t="s">
        <v>229</v>
      </c>
    </row>
    <row r="64" spans="1:9">
      <c r="A64" t="str">
        <f>"0215647 "</f>
        <v xml:space="preserve">0215647 </v>
      </c>
      <c r="B64" t="s">
        <v>115</v>
      </c>
      <c r="C64" t="s">
        <v>230</v>
      </c>
      <c r="D64" t="s">
        <v>231</v>
      </c>
      <c r="E64">
        <v>4</v>
      </c>
      <c r="F64" t="s">
        <v>232</v>
      </c>
      <c r="G64" t="s">
        <v>119</v>
      </c>
      <c r="H64" t="s">
        <v>230</v>
      </c>
      <c r="I64" t="s">
        <v>233</v>
      </c>
    </row>
    <row r="65" spans="1:9">
      <c r="A65" t="str">
        <f>"0215656 "</f>
        <v xml:space="preserve">0215656 </v>
      </c>
      <c r="B65" t="s">
        <v>115</v>
      </c>
      <c r="C65" t="s">
        <v>234</v>
      </c>
      <c r="D65" t="s">
        <v>235</v>
      </c>
      <c r="E65">
        <v>2</v>
      </c>
      <c r="F65" t="s">
        <v>236</v>
      </c>
      <c r="G65" t="s">
        <v>119</v>
      </c>
      <c r="H65" t="s">
        <v>234</v>
      </c>
      <c r="I65" t="s">
        <v>237</v>
      </c>
    </row>
    <row r="66" spans="1:9">
      <c r="A66" t="str">
        <f>"0215657 "</f>
        <v xml:space="preserve">0215657 </v>
      </c>
      <c r="B66" t="s">
        <v>115</v>
      </c>
      <c r="C66" t="s">
        <v>238</v>
      </c>
      <c r="D66" t="s">
        <v>239</v>
      </c>
      <c r="E66">
        <v>1</v>
      </c>
      <c r="F66" t="s">
        <v>240</v>
      </c>
      <c r="G66" t="s">
        <v>119</v>
      </c>
      <c r="H66" t="s">
        <v>238</v>
      </c>
      <c r="I66" t="s">
        <v>241</v>
      </c>
    </row>
    <row r="67" spans="1:9">
      <c r="A67" t="str">
        <f>"0215658 "</f>
        <v xml:space="preserve">0215658 </v>
      </c>
      <c r="B67" t="s">
        <v>115</v>
      </c>
      <c r="C67" t="s">
        <v>242</v>
      </c>
      <c r="D67" t="s">
        <v>243</v>
      </c>
      <c r="E67">
        <v>1</v>
      </c>
      <c r="F67" t="s">
        <v>244</v>
      </c>
      <c r="G67" t="s">
        <v>119</v>
      </c>
      <c r="H67" t="s">
        <v>242</v>
      </c>
      <c r="I67" t="s">
        <v>245</v>
      </c>
    </row>
    <row r="68" spans="1:9">
      <c r="A68" t="str">
        <f>"0215665 "</f>
        <v xml:space="preserve">0215665 </v>
      </c>
      <c r="B68" t="s">
        <v>115</v>
      </c>
      <c r="C68" t="s">
        <v>246</v>
      </c>
      <c r="D68" t="s">
        <v>247</v>
      </c>
      <c r="E68">
        <v>2</v>
      </c>
      <c r="F68" t="s">
        <v>248</v>
      </c>
      <c r="G68" t="s">
        <v>119</v>
      </c>
      <c r="H68" t="s">
        <v>246</v>
      </c>
      <c r="I68" t="s">
        <v>249</v>
      </c>
    </row>
    <row r="69" spans="1:9">
      <c r="A69" t="str">
        <f>"0215671 "</f>
        <v xml:space="preserve">0215671 </v>
      </c>
      <c r="B69" t="s">
        <v>115</v>
      </c>
      <c r="C69" t="s">
        <v>250</v>
      </c>
      <c r="D69" t="s">
        <v>251</v>
      </c>
      <c r="E69">
        <v>1</v>
      </c>
      <c r="F69" t="s">
        <v>252</v>
      </c>
      <c r="G69" t="s">
        <v>119</v>
      </c>
      <c r="H69" t="s">
        <v>250</v>
      </c>
      <c r="I69" t="s">
        <v>253</v>
      </c>
    </row>
    <row r="70" spans="1:9">
      <c r="A70" t="str">
        <f>"0215672 "</f>
        <v xml:space="preserve">0215672 </v>
      </c>
      <c r="B70" t="s">
        <v>115</v>
      </c>
      <c r="C70" t="s">
        <v>254</v>
      </c>
      <c r="D70" t="s">
        <v>255</v>
      </c>
      <c r="E70" t="s">
        <v>20</v>
      </c>
      <c r="F70" t="s">
        <v>256</v>
      </c>
      <c r="G70" t="s">
        <v>119</v>
      </c>
      <c r="H70" t="s">
        <v>254</v>
      </c>
      <c r="I70" t="s">
        <v>257</v>
      </c>
    </row>
    <row r="71" spans="1:9">
      <c r="A71" t="str">
        <f>"0215675 "</f>
        <v xml:space="preserve">0215675 </v>
      </c>
      <c r="B71" t="s">
        <v>115</v>
      </c>
      <c r="C71" t="s">
        <v>258</v>
      </c>
      <c r="D71" t="s">
        <v>259</v>
      </c>
      <c r="E71">
        <v>3</v>
      </c>
      <c r="F71" t="s">
        <v>260</v>
      </c>
      <c r="G71" t="s">
        <v>119</v>
      </c>
      <c r="H71" t="s">
        <v>258</v>
      </c>
      <c r="I71" t="s">
        <v>261</v>
      </c>
    </row>
    <row r="72" spans="1:9">
      <c r="A72" t="str">
        <f>"0215677 "</f>
        <v xml:space="preserve">0215677 </v>
      </c>
      <c r="B72" t="s">
        <v>115</v>
      </c>
      <c r="C72" t="s">
        <v>262</v>
      </c>
      <c r="D72" t="s">
        <v>263</v>
      </c>
      <c r="E72">
        <v>2</v>
      </c>
      <c r="F72" t="s">
        <v>264</v>
      </c>
      <c r="G72" t="s">
        <v>119</v>
      </c>
      <c r="H72" t="s">
        <v>262</v>
      </c>
      <c r="I72" t="s">
        <v>265</v>
      </c>
    </row>
    <row r="73" spans="1:9">
      <c r="A73" t="str">
        <f>"0215678 "</f>
        <v xml:space="preserve">0215678 </v>
      </c>
      <c r="B73" t="s">
        <v>115</v>
      </c>
      <c r="C73" t="s">
        <v>266</v>
      </c>
      <c r="D73" t="s">
        <v>267</v>
      </c>
      <c r="E73">
        <v>1</v>
      </c>
      <c r="F73" t="s">
        <v>268</v>
      </c>
      <c r="G73" t="s">
        <v>119</v>
      </c>
      <c r="H73" t="s">
        <v>266</v>
      </c>
      <c r="I73" t="s">
        <v>269</v>
      </c>
    </row>
    <row r="74" spans="1:9">
      <c r="A74" t="str">
        <f>"0215679 "</f>
        <v xml:space="preserve">0215679 </v>
      </c>
      <c r="B74" t="s">
        <v>115</v>
      </c>
      <c r="C74" t="s">
        <v>270</v>
      </c>
      <c r="D74" t="s">
        <v>271</v>
      </c>
      <c r="E74">
        <v>1</v>
      </c>
      <c r="F74" t="s">
        <v>272</v>
      </c>
      <c r="G74" t="s">
        <v>119</v>
      </c>
      <c r="H74" t="s">
        <v>270</v>
      </c>
      <c r="I74" t="s">
        <v>273</v>
      </c>
    </row>
    <row r="75" spans="1:9">
      <c r="A75" t="str">
        <f>"0215682 "</f>
        <v xml:space="preserve">0215682 </v>
      </c>
      <c r="B75" t="s">
        <v>115</v>
      </c>
      <c r="C75" t="s">
        <v>274</v>
      </c>
      <c r="D75" t="s">
        <v>275</v>
      </c>
      <c r="E75">
        <v>3</v>
      </c>
      <c r="F75" t="s">
        <v>276</v>
      </c>
      <c r="G75" t="s">
        <v>119</v>
      </c>
      <c r="H75" t="s">
        <v>274</v>
      </c>
      <c r="I75" t="s">
        <v>277</v>
      </c>
    </row>
    <row r="76" spans="1:9">
      <c r="A76" t="str">
        <f>"0215683 "</f>
        <v xml:space="preserve">0215683 </v>
      </c>
      <c r="B76" t="s">
        <v>115</v>
      </c>
      <c r="C76" t="s">
        <v>278</v>
      </c>
      <c r="D76" t="s">
        <v>279</v>
      </c>
      <c r="E76">
        <v>5</v>
      </c>
      <c r="F76" t="s">
        <v>280</v>
      </c>
      <c r="G76" t="s">
        <v>119</v>
      </c>
      <c r="H76" t="s">
        <v>278</v>
      </c>
      <c r="I76" t="s">
        <v>281</v>
      </c>
    </row>
    <row r="77" spans="1:9">
      <c r="A77" t="str">
        <f>"0215685 "</f>
        <v xml:space="preserve">0215685 </v>
      </c>
      <c r="B77" t="s">
        <v>115</v>
      </c>
      <c r="C77" t="s">
        <v>282</v>
      </c>
      <c r="D77" t="s">
        <v>283</v>
      </c>
      <c r="E77">
        <v>1</v>
      </c>
      <c r="F77" t="s">
        <v>284</v>
      </c>
      <c r="G77" t="s">
        <v>119</v>
      </c>
      <c r="H77" t="s">
        <v>282</v>
      </c>
      <c r="I77" t="s">
        <v>285</v>
      </c>
    </row>
    <row r="78" spans="1:9">
      <c r="A78" t="str">
        <f>"0215686 "</f>
        <v xml:space="preserve">0215686 </v>
      </c>
      <c r="B78" t="s">
        <v>115</v>
      </c>
      <c r="C78" t="s">
        <v>286</v>
      </c>
      <c r="D78" t="s">
        <v>287</v>
      </c>
      <c r="E78">
        <v>1</v>
      </c>
      <c r="F78" t="s">
        <v>288</v>
      </c>
      <c r="G78" t="s">
        <v>119</v>
      </c>
      <c r="H78" t="s">
        <v>286</v>
      </c>
      <c r="I78" t="s">
        <v>289</v>
      </c>
    </row>
    <row r="79" spans="1:9">
      <c r="A79" t="str">
        <f>"0215687 "</f>
        <v xml:space="preserve">0215687 </v>
      </c>
      <c r="B79" t="s">
        <v>115</v>
      </c>
      <c r="C79" t="s">
        <v>290</v>
      </c>
      <c r="D79" t="s">
        <v>291</v>
      </c>
      <c r="E79">
        <v>2</v>
      </c>
      <c r="F79" t="s">
        <v>292</v>
      </c>
      <c r="G79" t="s">
        <v>119</v>
      </c>
      <c r="H79" t="s">
        <v>290</v>
      </c>
      <c r="I79" t="s">
        <v>293</v>
      </c>
    </row>
    <row r="80" spans="1:9">
      <c r="A80" t="str">
        <f>"0215688 "</f>
        <v xml:space="preserve">0215688 </v>
      </c>
      <c r="B80" t="s">
        <v>115</v>
      </c>
      <c r="C80" t="s">
        <v>294</v>
      </c>
      <c r="D80" t="s">
        <v>295</v>
      </c>
      <c r="E80">
        <v>3</v>
      </c>
      <c r="F80" t="s">
        <v>296</v>
      </c>
      <c r="G80" t="s">
        <v>119</v>
      </c>
      <c r="H80" t="s">
        <v>294</v>
      </c>
      <c r="I80" t="s">
        <v>297</v>
      </c>
    </row>
    <row r="81" spans="1:9">
      <c r="A81" t="str">
        <f>"0216106 "</f>
        <v xml:space="preserve">0216106 </v>
      </c>
      <c r="B81" t="s">
        <v>115</v>
      </c>
      <c r="C81" t="s">
        <v>298</v>
      </c>
      <c r="D81" t="s">
        <v>299</v>
      </c>
      <c r="E81">
        <v>5</v>
      </c>
      <c r="F81" t="s">
        <v>300</v>
      </c>
      <c r="G81" t="s">
        <v>119</v>
      </c>
      <c r="H81" t="s">
        <v>298</v>
      </c>
      <c r="I81" t="s">
        <v>301</v>
      </c>
    </row>
    <row r="82" spans="1:9">
      <c r="A82" t="str">
        <f>"0215696 "</f>
        <v xml:space="preserve">0215696 </v>
      </c>
      <c r="B82" t="s">
        <v>115</v>
      </c>
      <c r="C82" t="s">
        <v>302</v>
      </c>
      <c r="D82" t="s">
        <v>303</v>
      </c>
      <c r="E82" t="s">
        <v>20</v>
      </c>
      <c r="F82" t="s">
        <v>171</v>
      </c>
      <c r="G82" t="s">
        <v>119</v>
      </c>
      <c r="H82" t="s">
        <v>302</v>
      </c>
      <c r="I82" t="s">
        <v>304</v>
      </c>
    </row>
    <row r="83" spans="1:9">
      <c r="A83" t="str">
        <f>"0216107 "</f>
        <v xml:space="preserve">0216107 </v>
      </c>
      <c r="B83" t="s">
        <v>115</v>
      </c>
      <c r="C83" t="s">
        <v>305</v>
      </c>
      <c r="D83" t="s">
        <v>306</v>
      </c>
      <c r="E83">
        <v>4</v>
      </c>
      <c r="F83" t="s">
        <v>307</v>
      </c>
      <c r="G83" t="s">
        <v>119</v>
      </c>
      <c r="H83" t="s">
        <v>305</v>
      </c>
      <c r="I83" t="s">
        <v>308</v>
      </c>
    </row>
    <row r="84" spans="1:9">
      <c r="A84" t="str">
        <f>"0215699 "</f>
        <v xml:space="preserve">0215699 </v>
      </c>
      <c r="B84" t="s">
        <v>115</v>
      </c>
      <c r="C84" t="s">
        <v>309</v>
      </c>
      <c r="D84" t="s">
        <v>310</v>
      </c>
      <c r="E84">
        <v>2</v>
      </c>
      <c r="F84" t="s">
        <v>311</v>
      </c>
      <c r="G84" t="s">
        <v>119</v>
      </c>
      <c r="H84" t="s">
        <v>309</v>
      </c>
      <c r="I84" t="s">
        <v>312</v>
      </c>
    </row>
    <row r="85" spans="1:9">
      <c r="A85" t="str">
        <f>"0215700 "</f>
        <v xml:space="preserve">0215700 </v>
      </c>
      <c r="B85" t="s">
        <v>115</v>
      </c>
      <c r="C85" t="s">
        <v>313</v>
      </c>
      <c r="D85" t="s">
        <v>314</v>
      </c>
      <c r="E85">
        <v>2</v>
      </c>
      <c r="F85" t="s">
        <v>307</v>
      </c>
      <c r="G85" t="s">
        <v>119</v>
      </c>
      <c r="H85" t="s">
        <v>313</v>
      </c>
      <c r="I85" t="s">
        <v>315</v>
      </c>
    </row>
    <row r="86" spans="1:9">
      <c r="A86" t="str">
        <f>"0215703 "</f>
        <v xml:space="preserve">0215703 </v>
      </c>
      <c r="B86" t="s">
        <v>115</v>
      </c>
      <c r="C86" t="s">
        <v>316</v>
      </c>
      <c r="D86" t="s">
        <v>317</v>
      </c>
      <c r="E86">
        <v>2</v>
      </c>
      <c r="F86" t="s">
        <v>318</v>
      </c>
      <c r="G86" t="s">
        <v>119</v>
      </c>
      <c r="H86" t="s">
        <v>316</v>
      </c>
      <c r="I86" t="s">
        <v>319</v>
      </c>
    </row>
    <row r="87" spans="1:9">
      <c r="A87" t="str">
        <f>"0215705 "</f>
        <v xml:space="preserve">0215705 </v>
      </c>
      <c r="B87" t="s">
        <v>115</v>
      </c>
      <c r="C87" t="s">
        <v>320</v>
      </c>
      <c r="D87" t="s">
        <v>321</v>
      </c>
      <c r="E87">
        <v>2</v>
      </c>
      <c r="F87" t="s">
        <v>322</v>
      </c>
      <c r="G87" t="s">
        <v>119</v>
      </c>
      <c r="H87" t="s">
        <v>320</v>
      </c>
      <c r="I87" t="s">
        <v>323</v>
      </c>
    </row>
    <row r="88" spans="1:9">
      <c r="A88" t="str">
        <f>"0215714 "</f>
        <v xml:space="preserve">0215714 </v>
      </c>
      <c r="B88" t="s">
        <v>115</v>
      </c>
      <c r="C88" t="s">
        <v>324</v>
      </c>
      <c r="D88" t="s">
        <v>325</v>
      </c>
      <c r="E88">
        <v>5</v>
      </c>
      <c r="F88" t="s">
        <v>326</v>
      </c>
      <c r="G88" t="s">
        <v>119</v>
      </c>
      <c r="H88" t="s">
        <v>324</v>
      </c>
      <c r="I88" t="s">
        <v>327</v>
      </c>
    </row>
    <row r="89" spans="1:9">
      <c r="A89" t="str">
        <f>"0215715 "</f>
        <v xml:space="preserve">0215715 </v>
      </c>
      <c r="B89" t="s">
        <v>115</v>
      </c>
      <c r="C89" t="s">
        <v>328</v>
      </c>
      <c r="D89" t="s">
        <v>329</v>
      </c>
      <c r="E89">
        <v>2</v>
      </c>
      <c r="F89" t="s">
        <v>330</v>
      </c>
      <c r="G89" t="s">
        <v>119</v>
      </c>
      <c r="H89" t="s">
        <v>328</v>
      </c>
      <c r="I89" t="s">
        <v>331</v>
      </c>
    </row>
    <row r="90" spans="1:9">
      <c r="A90" t="str">
        <f>"0215716 "</f>
        <v xml:space="preserve">0215716 </v>
      </c>
      <c r="B90" t="s">
        <v>115</v>
      </c>
      <c r="C90" t="s">
        <v>332</v>
      </c>
      <c r="D90" t="s">
        <v>333</v>
      </c>
      <c r="E90">
        <v>2</v>
      </c>
      <c r="F90" t="s">
        <v>334</v>
      </c>
      <c r="G90" t="s">
        <v>119</v>
      </c>
      <c r="H90" t="s">
        <v>332</v>
      </c>
      <c r="I90" t="s">
        <v>335</v>
      </c>
    </row>
    <row r="91" spans="1:9">
      <c r="A91" t="str">
        <f>"0215717 "</f>
        <v xml:space="preserve">0215717 </v>
      </c>
      <c r="B91" t="s">
        <v>115</v>
      </c>
      <c r="C91" t="s">
        <v>336</v>
      </c>
      <c r="D91" t="s">
        <v>337</v>
      </c>
      <c r="E91">
        <v>2</v>
      </c>
      <c r="F91" t="s">
        <v>338</v>
      </c>
      <c r="G91" t="s">
        <v>119</v>
      </c>
      <c r="H91" t="s">
        <v>336</v>
      </c>
      <c r="I91" t="s">
        <v>339</v>
      </c>
    </row>
    <row r="92" spans="1:9">
      <c r="A92" t="str">
        <f>"0215718 "</f>
        <v xml:space="preserve">0215718 </v>
      </c>
      <c r="B92" t="s">
        <v>115</v>
      </c>
      <c r="C92" t="s">
        <v>340</v>
      </c>
      <c r="D92" t="s">
        <v>341</v>
      </c>
      <c r="E92" t="s">
        <v>20</v>
      </c>
      <c r="F92" t="s">
        <v>342</v>
      </c>
      <c r="G92" t="s">
        <v>119</v>
      </c>
      <c r="H92" t="s">
        <v>340</v>
      </c>
      <c r="I92" t="s">
        <v>343</v>
      </c>
    </row>
    <row r="93" spans="1:9">
      <c r="A93" t="str">
        <f>"0215720 "</f>
        <v xml:space="preserve">0215720 </v>
      </c>
      <c r="B93" t="s">
        <v>115</v>
      </c>
      <c r="C93" t="s">
        <v>344</v>
      </c>
      <c r="D93" t="s">
        <v>345</v>
      </c>
      <c r="E93">
        <v>2</v>
      </c>
      <c r="F93" t="s">
        <v>346</v>
      </c>
      <c r="G93" t="s">
        <v>119</v>
      </c>
      <c r="H93" t="s">
        <v>344</v>
      </c>
      <c r="I93" t="s">
        <v>347</v>
      </c>
    </row>
    <row r="94" spans="1:9">
      <c r="A94" t="str">
        <f>"0215723 "</f>
        <v xml:space="preserve">0215723 </v>
      </c>
      <c r="B94" t="s">
        <v>115</v>
      </c>
      <c r="C94" t="s">
        <v>348</v>
      </c>
      <c r="D94" t="s">
        <v>349</v>
      </c>
      <c r="E94">
        <v>2</v>
      </c>
      <c r="F94" t="s">
        <v>350</v>
      </c>
      <c r="G94" t="s">
        <v>119</v>
      </c>
      <c r="H94" t="s">
        <v>348</v>
      </c>
      <c r="I94" t="s">
        <v>351</v>
      </c>
    </row>
    <row r="95" spans="1:9">
      <c r="A95" t="str">
        <f>"0215727 "</f>
        <v xml:space="preserve">0215727 </v>
      </c>
      <c r="B95" t="s">
        <v>115</v>
      </c>
      <c r="C95" t="s">
        <v>352</v>
      </c>
      <c r="D95" t="s">
        <v>353</v>
      </c>
      <c r="E95">
        <v>4</v>
      </c>
      <c r="F95" t="s">
        <v>354</v>
      </c>
      <c r="G95" t="s">
        <v>119</v>
      </c>
      <c r="H95" t="s">
        <v>352</v>
      </c>
      <c r="I95" t="s">
        <v>355</v>
      </c>
    </row>
    <row r="96" spans="1:9">
      <c r="A96" t="str">
        <f>"0215730 "</f>
        <v xml:space="preserve">0215730 </v>
      </c>
      <c r="B96" t="s">
        <v>115</v>
      </c>
      <c r="C96" t="s">
        <v>356</v>
      </c>
      <c r="D96" t="s">
        <v>357</v>
      </c>
      <c r="E96">
        <v>2</v>
      </c>
      <c r="F96" t="s">
        <v>358</v>
      </c>
      <c r="G96" t="s">
        <v>119</v>
      </c>
      <c r="H96" t="s">
        <v>356</v>
      </c>
      <c r="I96" t="s">
        <v>359</v>
      </c>
    </row>
    <row r="97" spans="1:9">
      <c r="A97" t="str">
        <f>"0215731 "</f>
        <v xml:space="preserve">0215731 </v>
      </c>
      <c r="B97" t="s">
        <v>115</v>
      </c>
      <c r="C97" t="s">
        <v>360</v>
      </c>
      <c r="D97" t="s">
        <v>361</v>
      </c>
      <c r="E97">
        <v>1</v>
      </c>
      <c r="F97" t="s">
        <v>362</v>
      </c>
      <c r="G97" t="s">
        <v>119</v>
      </c>
      <c r="H97" t="s">
        <v>360</v>
      </c>
      <c r="I97" t="s">
        <v>363</v>
      </c>
    </row>
    <row r="98" spans="1:9">
      <c r="A98" t="str">
        <f>"0215733 "</f>
        <v xml:space="preserve">0215733 </v>
      </c>
      <c r="B98" t="s">
        <v>115</v>
      </c>
      <c r="C98" t="s">
        <v>364</v>
      </c>
      <c r="D98" t="s">
        <v>365</v>
      </c>
      <c r="E98">
        <v>2</v>
      </c>
      <c r="F98" t="s">
        <v>366</v>
      </c>
      <c r="G98" t="s">
        <v>119</v>
      </c>
      <c r="H98" t="s">
        <v>364</v>
      </c>
      <c r="I98" t="s">
        <v>367</v>
      </c>
    </row>
    <row r="99" spans="1:9">
      <c r="A99" t="str">
        <f>"0215735 "</f>
        <v xml:space="preserve">0215735 </v>
      </c>
      <c r="B99" t="s">
        <v>115</v>
      </c>
      <c r="C99" t="s">
        <v>368</v>
      </c>
      <c r="D99" t="s">
        <v>369</v>
      </c>
      <c r="E99">
        <v>3</v>
      </c>
      <c r="F99" t="s">
        <v>264</v>
      </c>
      <c r="G99" t="s">
        <v>119</v>
      </c>
      <c r="H99" t="s">
        <v>368</v>
      </c>
      <c r="I99" t="s">
        <v>370</v>
      </c>
    </row>
    <row r="100" spans="1:9">
      <c r="A100" t="str">
        <f>"0215740 "</f>
        <v xml:space="preserve">0215740 </v>
      </c>
      <c r="B100" t="s">
        <v>115</v>
      </c>
      <c r="C100" t="s">
        <v>371</v>
      </c>
      <c r="D100" t="s">
        <v>372</v>
      </c>
      <c r="E100">
        <v>1</v>
      </c>
      <c r="F100" t="s">
        <v>373</v>
      </c>
      <c r="G100" t="s">
        <v>119</v>
      </c>
      <c r="H100" t="s">
        <v>371</v>
      </c>
      <c r="I100" t="s">
        <v>374</v>
      </c>
    </row>
    <row r="101" spans="1:9">
      <c r="A101" t="str">
        <f>"0215746 "</f>
        <v xml:space="preserve">0215746 </v>
      </c>
      <c r="B101" t="s">
        <v>115</v>
      </c>
      <c r="C101" t="s">
        <v>375</v>
      </c>
      <c r="D101" t="s">
        <v>376</v>
      </c>
      <c r="E101">
        <v>1</v>
      </c>
      <c r="F101" t="s">
        <v>377</v>
      </c>
      <c r="G101" t="s">
        <v>119</v>
      </c>
      <c r="H101" t="s">
        <v>375</v>
      </c>
      <c r="I101" t="s">
        <v>378</v>
      </c>
    </row>
    <row r="102" spans="1:9">
      <c r="A102" t="str">
        <f>"0215747 "</f>
        <v xml:space="preserve">0215747 </v>
      </c>
      <c r="B102" t="s">
        <v>115</v>
      </c>
      <c r="C102" t="s">
        <v>379</v>
      </c>
      <c r="D102" t="s">
        <v>380</v>
      </c>
      <c r="E102" t="s">
        <v>20</v>
      </c>
      <c r="F102" t="s">
        <v>381</v>
      </c>
      <c r="G102" t="s">
        <v>119</v>
      </c>
      <c r="H102" t="s">
        <v>379</v>
      </c>
      <c r="I102" t="s">
        <v>382</v>
      </c>
    </row>
    <row r="103" spans="1:9">
      <c r="A103" t="str">
        <f>"0215756 "</f>
        <v xml:space="preserve">0215756 </v>
      </c>
      <c r="B103" t="s">
        <v>115</v>
      </c>
      <c r="C103" t="s">
        <v>383</v>
      </c>
      <c r="D103" t="s">
        <v>384</v>
      </c>
      <c r="E103">
        <v>3</v>
      </c>
      <c r="F103" t="s">
        <v>385</v>
      </c>
      <c r="G103" t="s">
        <v>119</v>
      </c>
      <c r="H103" t="s">
        <v>383</v>
      </c>
      <c r="I103" t="s">
        <v>386</v>
      </c>
    </row>
    <row r="104" spans="1:9">
      <c r="A104" t="str">
        <f>"0215758 "</f>
        <v xml:space="preserve">0215758 </v>
      </c>
      <c r="B104" t="s">
        <v>115</v>
      </c>
      <c r="C104" t="s">
        <v>387</v>
      </c>
      <c r="D104" t="s">
        <v>388</v>
      </c>
      <c r="E104">
        <v>2</v>
      </c>
      <c r="F104" t="s">
        <v>389</v>
      </c>
      <c r="G104" t="s">
        <v>119</v>
      </c>
      <c r="H104" t="s">
        <v>387</v>
      </c>
      <c r="I104" t="s">
        <v>390</v>
      </c>
    </row>
    <row r="105" spans="1:9">
      <c r="A105" t="str">
        <f>"0215759 "</f>
        <v xml:space="preserve">0215759 </v>
      </c>
      <c r="B105" t="s">
        <v>115</v>
      </c>
      <c r="C105" t="s">
        <v>391</v>
      </c>
      <c r="D105" t="s">
        <v>392</v>
      </c>
      <c r="E105">
        <v>4</v>
      </c>
      <c r="F105" t="s">
        <v>393</v>
      </c>
      <c r="G105" t="s">
        <v>119</v>
      </c>
      <c r="H105" t="s">
        <v>391</v>
      </c>
      <c r="I105" t="s">
        <v>394</v>
      </c>
    </row>
    <row r="106" spans="1:9">
      <c r="A106" t="str">
        <f>"0215761 "</f>
        <v xml:space="preserve">0215761 </v>
      </c>
      <c r="B106" t="s">
        <v>115</v>
      </c>
      <c r="C106" t="s">
        <v>395</v>
      </c>
      <c r="D106" t="s">
        <v>396</v>
      </c>
      <c r="E106">
        <v>1</v>
      </c>
      <c r="F106" t="s">
        <v>397</v>
      </c>
      <c r="G106" t="s">
        <v>119</v>
      </c>
      <c r="H106" t="s">
        <v>395</v>
      </c>
      <c r="I106" t="s">
        <v>398</v>
      </c>
    </row>
    <row r="107" spans="1:9">
      <c r="A107" t="str">
        <f>"0215771 "</f>
        <v xml:space="preserve">0215771 </v>
      </c>
      <c r="B107" t="s">
        <v>115</v>
      </c>
      <c r="C107" t="s">
        <v>399</v>
      </c>
      <c r="D107" t="s">
        <v>400</v>
      </c>
      <c r="E107">
        <v>1</v>
      </c>
      <c r="F107" t="s">
        <v>401</v>
      </c>
      <c r="G107" t="s">
        <v>119</v>
      </c>
      <c r="H107" t="s">
        <v>399</v>
      </c>
      <c r="I107" t="s">
        <v>402</v>
      </c>
    </row>
    <row r="108" spans="1:9">
      <c r="A108" t="str">
        <f>"0215772 "</f>
        <v xml:space="preserve">0215772 </v>
      </c>
      <c r="B108" t="s">
        <v>115</v>
      </c>
      <c r="C108" t="s">
        <v>403</v>
      </c>
      <c r="D108" t="s">
        <v>404</v>
      </c>
      <c r="E108">
        <v>1</v>
      </c>
      <c r="F108" t="s">
        <v>405</v>
      </c>
      <c r="G108" t="s">
        <v>119</v>
      </c>
      <c r="H108" t="s">
        <v>403</v>
      </c>
      <c r="I108" t="s">
        <v>406</v>
      </c>
    </row>
    <row r="109" spans="1:9">
      <c r="A109" t="str">
        <f>"0215774 "</f>
        <v xml:space="preserve">0215774 </v>
      </c>
      <c r="B109" t="s">
        <v>115</v>
      </c>
      <c r="C109" t="s">
        <v>407</v>
      </c>
      <c r="D109" t="s">
        <v>408</v>
      </c>
      <c r="E109">
        <v>4</v>
      </c>
      <c r="F109" t="s">
        <v>409</v>
      </c>
      <c r="G109" t="s">
        <v>119</v>
      </c>
      <c r="H109" t="s">
        <v>407</v>
      </c>
      <c r="I109" t="s">
        <v>410</v>
      </c>
    </row>
    <row r="110" spans="1:9">
      <c r="A110" t="str">
        <f>"0215800 "</f>
        <v xml:space="preserve">0215800 </v>
      </c>
      <c r="B110" t="s">
        <v>115</v>
      </c>
      <c r="C110" t="s">
        <v>411</v>
      </c>
      <c r="D110" t="s">
        <v>412</v>
      </c>
      <c r="E110">
        <v>2</v>
      </c>
      <c r="F110" t="s">
        <v>413</v>
      </c>
      <c r="G110" t="s">
        <v>119</v>
      </c>
      <c r="H110" t="s">
        <v>411</v>
      </c>
      <c r="I110" t="s">
        <v>414</v>
      </c>
    </row>
    <row r="111" spans="1:9">
      <c r="A111" t="str">
        <f>"0215801 "</f>
        <v xml:space="preserve">0215801 </v>
      </c>
      <c r="B111" t="s">
        <v>115</v>
      </c>
      <c r="C111" t="s">
        <v>415</v>
      </c>
      <c r="D111" t="s">
        <v>416</v>
      </c>
      <c r="E111" t="s">
        <v>20</v>
      </c>
      <c r="F111" t="s">
        <v>417</v>
      </c>
      <c r="G111" t="s">
        <v>119</v>
      </c>
      <c r="H111" t="s">
        <v>415</v>
      </c>
      <c r="I111" t="s">
        <v>418</v>
      </c>
    </row>
    <row r="112" spans="1:9">
      <c r="A112" t="str">
        <f>"0215803 "</f>
        <v xml:space="preserve">0215803 </v>
      </c>
      <c r="B112" t="s">
        <v>115</v>
      </c>
      <c r="C112" t="s">
        <v>419</v>
      </c>
      <c r="D112" t="s">
        <v>420</v>
      </c>
      <c r="E112">
        <v>1</v>
      </c>
      <c r="F112" t="s">
        <v>421</v>
      </c>
      <c r="G112" t="s">
        <v>119</v>
      </c>
      <c r="H112" t="s">
        <v>419</v>
      </c>
      <c r="I112" t="s">
        <v>422</v>
      </c>
    </row>
    <row r="113" spans="1:9">
      <c r="A113" t="str">
        <f>"0215823 "</f>
        <v xml:space="preserve">0215823 </v>
      </c>
      <c r="B113" t="s">
        <v>115</v>
      </c>
      <c r="C113" t="s">
        <v>423</v>
      </c>
      <c r="D113" t="s">
        <v>424</v>
      </c>
      <c r="E113">
        <v>2</v>
      </c>
      <c r="F113" t="s">
        <v>425</v>
      </c>
      <c r="G113" t="s">
        <v>119</v>
      </c>
      <c r="H113" t="s">
        <v>423</v>
      </c>
      <c r="I113" t="s">
        <v>426</v>
      </c>
    </row>
    <row r="114" spans="1:9">
      <c r="A114" t="str">
        <f>"0215832 "</f>
        <v xml:space="preserve">0215832 </v>
      </c>
      <c r="B114" t="s">
        <v>115</v>
      </c>
      <c r="C114" t="s">
        <v>427</v>
      </c>
      <c r="D114" t="s">
        <v>428</v>
      </c>
      <c r="E114">
        <v>1</v>
      </c>
      <c r="F114" t="s">
        <v>429</v>
      </c>
      <c r="G114" t="s">
        <v>119</v>
      </c>
      <c r="H114" t="s">
        <v>427</v>
      </c>
      <c r="I114" t="s">
        <v>430</v>
      </c>
    </row>
    <row r="115" spans="1:9">
      <c r="A115" t="str">
        <f>"0215834 "</f>
        <v xml:space="preserve">0215834 </v>
      </c>
      <c r="B115" t="s">
        <v>115</v>
      </c>
      <c r="C115" t="s">
        <v>431</v>
      </c>
      <c r="D115" t="s">
        <v>432</v>
      </c>
      <c r="E115">
        <v>4</v>
      </c>
      <c r="F115" t="s">
        <v>417</v>
      </c>
      <c r="G115" t="s">
        <v>119</v>
      </c>
      <c r="H115" t="s">
        <v>431</v>
      </c>
      <c r="I115" t="s">
        <v>433</v>
      </c>
    </row>
    <row r="116" spans="1:9">
      <c r="A116" t="str">
        <f>"0215835 "</f>
        <v xml:space="preserve">0215835 </v>
      </c>
      <c r="B116" t="s">
        <v>115</v>
      </c>
      <c r="C116" t="s">
        <v>434</v>
      </c>
      <c r="D116" t="s">
        <v>435</v>
      </c>
      <c r="E116" t="s">
        <v>20</v>
      </c>
      <c r="F116" t="s">
        <v>436</v>
      </c>
      <c r="G116" t="s">
        <v>119</v>
      </c>
      <c r="H116" t="s">
        <v>434</v>
      </c>
      <c r="I116" t="s">
        <v>437</v>
      </c>
    </row>
    <row r="117" spans="1:9">
      <c r="A117" t="str">
        <f>"0215836 "</f>
        <v xml:space="preserve">0215836 </v>
      </c>
      <c r="B117" t="s">
        <v>115</v>
      </c>
      <c r="C117" t="s">
        <v>438</v>
      </c>
      <c r="D117" t="s">
        <v>439</v>
      </c>
      <c r="E117">
        <v>2</v>
      </c>
      <c r="F117" t="s">
        <v>440</v>
      </c>
      <c r="G117" t="s">
        <v>119</v>
      </c>
      <c r="H117" t="s">
        <v>438</v>
      </c>
      <c r="I117" t="s">
        <v>441</v>
      </c>
    </row>
    <row r="118" spans="1:9">
      <c r="A118" t="str">
        <f>"0215837 "</f>
        <v xml:space="preserve">0215837 </v>
      </c>
      <c r="B118" t="s">
        <v>115</v>
      </c>
      <c r="C118" t="s">
        <v>442</v>
      </c>
      <c r="D118" t="s">
        <v>443</v>
      </c>
      <c r="E118">
        <v>3</v>
      </c>
      <c r="F118" t="s">
        <v>118</v>
      </c>
      <c r="G118" t="s">
        <v>119</v>
      </c>
      <c r="H118" t="s">
        <v>442</v>
      </c>
      <c r="I118" t="s">
        <v>444</v>
      </c>
    </row>
    <row r="119" spans="1:9">
      <c r="A119" t="str">
        <f>"0215845 "</f>
        <v xml:space="preserve">0215845 </v>
      </c>
      <c r="B119" t="s">
        <v>115</v>
      </c>
      <c r="C119" t="s">
        <v>445</v>
      </c>
      <c r="D119" t="s">
        <v>446</v>
      </c>
      <c r="E119">
        <v>5</v>
      </c>
      <c r="F119" t="s">
        <v>244</v>
      </c>
      <c r="G119" t="s">
        <v>119</v>
      </c>
      <c r="H119" t="s">
        <v>445</v>
      </c>
      <c r="I119" t="s">
        <v>447</v>
      </c>
    </row>
    <row r="120" spans="1:9">
      <c r="A120" t="str">
        <f>"0215848 "</f>
        <v xml:space="preserve">0215848 </v>
      </c>
      <c r="B120" t="s">
        <v>115</v>
      </c>
      <c r="C120" t="s">
        <v>448</v>
      </c>
      <c r="D120" t="s">
        <v>449</v>
      </c>
      <c r="E120">
        <v>1</v>
      </c>
      <c r="F120" t="s">
        <v>450</v>
      </c>
      <c r="G120" t="s">
        <v>119</v>
      </c>
      <c r="H120" t="s">
        <v>448</v>
      </c>
      <c r="I120" t="s">
        <v>451</v>
      </c>
    </row>
    <row r="121" spans="1:9">
      <c r="A121" t="str">
        <f>"0215849 "</f>
        <v xml:space="preserve">0215849 </v>
      </c>
      <c r="B121" t="s">
        <v>115</v>
      </c>
      <c r="C121" t="s">
        <v>452</v>
      </c>
      <c r="D121" t="s">
        <v>453</v>
      </c>
      <c r="E121">
        <v>1</v>
      </c>
      <c r="F121" t="s">
        <v>454</v>
      </c>
      <c r="G121" t="s">
        <v>119</v>
      </c>
      <c r="H121" t="s">
        <v>452</v>
      </c>
      <c r="I121" t="s">
        <v>455</v>
      </c>
    </row>
    <row r="122" spans="1:9">
      <c r="A122" t="str">
        <f>"0215852 "</f>
        <v xml:space="preserve">0215852 </v>
      </c>
      <c r="B122" t="s">
        <v>115</v>
      </c>
      <c r="C122" t="s">
        <v>456</v>
      </c>
      <c r="D122" t="s">
        <v>457</v>
      </c>
      <c r="E122">
        <v>2</v>
      </c>
      <c r="F122" t="s">
        <v>458</v>
      </c>
      <c r="G122" t="s">
        <v>119</v>
      </c>
      <c r="H122" t="s">
        <v>456</v>
      </c>
      <c r="I122" t="s">
        <v>459</v>
      </c>
    </row>
    <row r="123" spans="1:9">
      <c r="A123" t="str">
        <f>"0215854 "</f>
        <v xml:space="preserve">0215854 </v>
      </c>
      <c r="B123" t="s">
        <v>115</v>
      </c>
      <c r="C123" t="s">
        <v>460</v>
      </c>
      <c r="D123" t="s">
        <v>461</v>
      </c>
      <c r="E123">
        <v>1</v>
      </c>
      <c r="F123" t="s">
        <v>462</v>
      </c>
      <c r="G123" t="s">
        <v>119</v>
      </c>
      <c r="H123" t="s">
        <v>460</v>
      </c>
      <c r="I123" t="s">
        <v>463</v>
      </c>
    </row>
    <row r="124" spans="1:9">
      <c r="A124" t="str">
        <f>"0215862 "</f>
        <v xml:space="preserve">0215862 </v>
      </c>
      <c r="B124" t="s">
        <v>115</v>
      </c>
      <c r="C124" t="s">
        <v>464</v>
      </c>
      <c r="D124" t="s">
        <v>465</v>
      </c>
      <c r="E124">
        <v>2</v>
      </c>
      <c r="F124" t="s">
        <v>466</v>
      </c>
      <c r="G124" t="s">
        <v>119</v>
      </c>
      <c r="H124" t="s">
        <v>464</v>
      </c>
      <c r="I124" t="s">
        <v>467</v>
      </c>
    </row>
    <row r="125" spans="1:9">
      <c r="A125" t="str">
        <f>"0215866 "</f>
        <v xml:space="preserve">0215866 </v>
      </c>
      <c r="B125" t="s">
        <v>115</v>
      </c>
      <c r="C125" t="s">
        <v>468</v>
      </c>
      <c r="D125" t="s">
        <v>469</v>
      </c>
      <c r="E125">
        <v>1</v>
      </c>
      <c r="F125" t="s">
        <v>470</v>
      </c>
      <c r="G125" t="s">
        <v>119</v>
      </c>
      <c r="H125" t="s">
        <v>468</v>
      </c>
      <c r="I125" t="s">
        <v>471</v>
      </c>
    </row>
    <row r="126" spans="1:9">
      <c r="A126" t="str">
        <f>"0215867 "</f>
        <v xml:space="preserve">0215867 </v>
      </c>
      <c r="B126" t="s">
        <v>115</v>
      </c>
      <c r="C126" t="s">
        <v>472</v>
      </c>
      <c r="D126" t="s">
        <v>473</v>
      </c>
      <c r="E126">
        <v>2</v>
      </c>
      <c r="F126" t="s">
        <v>123</v>
      </c>
      <c r="G126" t="s">
        <v>119</v>
      </c>
      <c r="H126" t="s">
        <v>472</v>
      </c>
      <c r="I126" t="s">
        <v>474</v>
      </c>
    </row>
    <row r="127" spans="1:9">
      <c r="A127" t="str">
        <f>"0215873 "</f>
        <v xml:space="preserve">0215873 </v>
      </c>
      <c r="B127" t="s">
        <v>115</v>
      </c>
      <c r="C127" t="s">
        <v>475</v>
      </c>
      <c r="D127" t="s">
        <v>476</v>
      </c>
      <c r="E127">
        <v>1</v>
      </c>
      <c r="F127" t="s">
        <v>477</v>
      </c>
      <c r="G127" t="s">
        <v>119</v>
      </c>
      <c r="H127" t="s">
        <v>475</v>
      </c>
      <c r="I127" t="s">
        <v>478</v>
      </c>
    </row>
    <row r="128" spans="1:9">
      <c r="A128" t="str">
        <f>"0215879 "</f>
        <v xml:space="preserve">0215879 </v>
      </c>
      <c r="B128" t="s">
        <v>115</v>
      </c>
      <c r="C128" t="s">
        <v>479</v>
      </c>
      <c r="D128" t="s">
        <v>480</v>
      </c>
      <c r="E128">
        <v>1</v>
      </c>
      <c r="F128" t="s">
        <v>481</v>
      </c>
      <c r="G128" t="s">
        <v>119</v>
      </c>
      <c r="H128" t="s">
        <v>479</v>
      </c>
      <c r="I128" t="s">
        <v>482</v>
      </c>
    </row>
    <row r="129" spans="1:9">
      <c r="A129" t="str">
        <f>"0215880 "</f>
        <v xml:space="preserve">0215880 </v>
      </c>
      <c r="B129" t="s">
        <v>115</v>
      </c>
      <c r="C129" t="s">
        <v>483</v>
      </c>
      <c r="D129" t="s">
        <v>484</v>
      </c>
      <c r="E129">
        <v>1</v>
      </c>
      <c r="F129" t="s">
        <v>485</v>
      </c>
      <c r="G129" t="s">
        <v>119</v>
      </c>
      <c r="H129" t="s">
        <v>483</v>
      </c>
      <c r="I129" t="s">
        <v>486</v>
      </c>
    </row>
    <row r="130" spans="1:9">
      <c r="A130" t="str">
        <f>"0215885 "</f>
        <v xml:space="preserve">0215885 </v>
      </c>
      <c r="B130" t="s">
        <v>115</v>
      </c>
      <c r="C130" t="s">
        <v>487</v>
      </c>
      <c r="D130" t="s">
        <v>488</v>
      </c>
      <c r="E130">
        <v>2</v>
      </c>
      <c r="F130" t="s">
        <v>489</v>
      </c>
      <c r="G130" t="s">
        <v>119</v>
      </c>
      <c r="H130" t="s">
        <v>487</v>
      </c>
      <c r="I130" t="s">
        <v>490</v>
      </c>
    </row>
    <row r="131" spans="1:9">
      <c r="A131" t="str">
        <f>"0215887 "</f>
        <v xml:space="preserve">0215887 </v>
      </c>
      <c r="B131" t="s">
        <v>115</v>
      </c>
      <c r="C131" t="s">
        <v>491</v>
      </c>
      <c r="D131" t="s">
        <v>492</v>
      </c>
      <c r="E131">
        <v>2</v>
      </c>
      <c r="F131" t="s">
        <v>205</v>
      </c>
      <c r="G131" t="s">
        <v>119</v>
      </c>
      <c r="H131" t="s">
        <v>491</v>
      </c>
      <c r="I131" t="s">
        <v>493</v>
      </c>
    </row>
    <row r="132" spans="1:9">
      <c r="A132" t="str">
        <f>"0215889 "</f>
        <v xml:space="preserve">0215889 </v>
      </c>
      <c r="B132" t="s">
        <v>115</v>
      </c>
      <c r="C132" t="s">
        <v>494</v>
      </c>
      <c r="D132" t="s">
        <v>495</v>
      </c>
      <c r="E132">
        <v>1</v>
      </c>
      <c r="F132" t="s">
        <v>496</v>
      </c>
      <c r="G132" t="s">
        <v>119</v>
      </c>
      <c r="H132" t="s">
        <v>494</v>
      </c>
      <c r="I132" t="s">
        <v>497</v>
      </c>
    </row>
    <row r="133" spans="1:9">
      <c r="A133" t="str">
        <f>"0215896 "</f>
        <v xml:space="preserve">0215896 </v>
      </c>
      <c r="B133" t="s">
        <v>115</v>
      </c>
      <c r="C133" t="s">
        <v>498</v>
      </c>
      <c r="D133" t="s">
        <v>499</v>
      </c>
      <c r="E133">
        <v>1</v>
      </c>
      <c r="F133" t="s">
        <v>500</v>
      </c>
      <c r="G133" t="s">
        <v>119</v>
      </c>
      <c r="H133" t="s">
        <v>498</v>
      </c>
      <c r="I133" t="s">
        <v>501</v>
      </c>
    </row>
    <row r="134" spans="1:9">
      <c r="A134" t="str">
        <f>"0215898 "</f>
        <v xml:space="preserve">0215898 </v>
      </c>
      <c r="B134" t="s">
        <v>115</v>
      </c>
      <c r="C134" t="s">
        <v>502</v>
      </c>
      <c r="D134" t="s">
        <v>503</v>
      </c>
      <c r="E134">
        <v>1</v>
      </c>
      <c r="F134" t="s">
        <v>504</v>
      </c>
      <c r="G134" t="s">
        <v>119</v>
      </c>
      <c r="H134" t="s">
        <v>502</v>
      </c>
      <c r="I134" t="s">
        <v>505</v>
      </c>
    </row>
    <row r="135" spans="1:9">
      <c r="A135" t="str">
        <f>"0215900 "</f>
        <v xml:space="preserve">0215900 </v>
      </c>
      <c r="B135" t="s">
        <v>115</v>
      </c>
      <c r="C135" t="s">
        <v>506</v>
      </c>
      <c r="D135" t="s">
        <v>507</v>
      </c>
      <c r="E135">
        <v>1</v>
      </c>
      <c r="F135" t="s">
        <v>508</v>
      </c>
      <c r="G135" t="s">
        <v>119</v>
      </c>
      <c r="H135" t="s">
        <v>506</v>
      </c>
      <c r="I135" t="s">
        <v>509</v>
      </c>
    </row>
    <row r="136" spans="1:9">
      <c r="A136" t="str">
        <f>"0215913 "</f>
        <v xml:space="preserve">0215913 </v>
      </c>
      <c r="B136" t="s">
        <v>115</v>
      </c>
      <c r="C136" t="s">
        <v>510</v>
      </c>
      <c r="D136" t="s">
        <v>511</v>
      </c>
      <c r="E136">
        <v>1</v>
      </c>
      <c r="F136" t="s">
        <v>512</v>
      </c>
      <c r="G136" t="s">
        <v>119</v>
      </c>
      <c r="H136" t="s">
        <v>510</v>
      </c>
      <c r="I136" t="s">
        <v>513</v>
      </c>
    </row>
    <row r="137" spans="1:9">
      <c r="A137" t="str">
        <f>"0215916 "</f>
        <v xml:space="preserve">0215916 </v>
      </c>
      <c r="B137" t="s">
        <v>115</v>
      </c>
      <c r="C137" t="s">
        <v>514</v>
      </c>
      <c r="D137" t="s">
        <v>515</v>
      </c>
      <c r="E137">
        <v>3</v>
      </c>
      <c r="F137" t="s">
        <v>373</v>
      </c>
      <c r="G137" t="s">
        <v>119</v>
      </c>
      <c r="H137" t="s">
        <v>514</v>
      </c>
      <c r="I137" t="s">
        <v>516</v>
      </c>
    </row>
    <row r="138" spans="1:9">
      <c r="A138" t="str">
        <f>"0215923 "</f>
        <v xml:space="preserve">0215923 </v>
      </c>
      <c r="B138" t="s">
        <v>115</v>
      </c>
      <c r="C138" t="s">
        <v>517</v>
      </c>
      <c r="D138" t="s">
        <v>518</v>
      </c>
      <c r="E138">
        <v>1</v>
      </c>
      <c r="F138" t="s">
        <v>519</v>
      </c>
      <c r="G138" t="s">
        <v>119</v>
      </c>
      <c r="H138" t="s">
        <v>517</v>
      </c>
      <c r="I138" t="s">
        <v>520</v>
      </c>
    </row>
    <row r="139" spans="1:9">
      <c r="A139" t="str">
        <f>"0215928 "</f>
        <v xml:space="preserve">0215928 </v>
      </c>
      <c r="B139" t="s">
        <v>115</v>
      </c>
      <c r="C139" t="s">
        <v>521</v>
      </c>
      <c r="D139" t="s">
        <v>522</v>
      </c>
      <c r="E139">
        <v>1</v>
      </c>
      <c r="F139" t="s">
        <v>228</v>
      </c>
      <c r="G139" t="s">
        <v>119</v>
      </c>
      <c r="H139" t="s">
        <v>521</v>
      </c>
      <c r="I139" t="s">
        <v>523</v>
      </c>
    </row>
    <row r="140" spans="1:9">
      <c r="A140" t="str">
        <f>"0213757 "</f>
        <v xml:space="preserve">0213757 </v>
      </c>
      <c r="B140" t="s">
        <v>115</v>
      </c>
      <c r="C140" t="s">
        <v>524</v>
      </c>
      <c r="D140" t="s">
        <v>525</v>
      </c>
      <c r="E140">
        <v>3</v>
      </c>
      <c r="F140" t="s">
        <v>526</v>
      </c>
      <c r="G140" t="s">
        <v>119</v>
      </c>
      <c r="H140" t="s">
        <v>524</v>
      </c>
      <c r="I140" t="s">
        <v>527</v>
      </c>
    </row>
    <row r="141" spans="1:9">
      <c r="A141" t="str">
        <f>"0213758 "</f>
        <v xml:space="preserve">0213758 </v>
      </c>
      <c r="B141" t="s">
        <v>115</v>
      </c>
      <c r="C141" t="s">
        <v>528</v>
      </c>
      <c r="D141" t="s">
        <v>529</v>
      </c>
      <c r="E141">
        <v>1</v>
      </c>
      <c r="F141" t="s">
        <v>288</v>
      </c>
      <c r="G141" t="s">
        <v>119</v>
      </c>
      <c r="H141" t="s">
        <v>528</v>
      </c>
      <c r="I141" t="s">
        <v>530</v>
      </c>
    </row>
    <row r="142" spans="1:9">
      <c r="A142" t="str">
        <f>"0213759 "</f>
        <v xml:space="preserve">0213759 </v>
      </c>
      <c r="B142" t="s">
        <v>115</v>
      </c>
      <c r="C142" t="s">
        <v>531</v>
      </c>
      <c r="D142" t="s">
        <v>532</v>
      </c>
      <c r="E142">
        <v>1</v>
      </c>
      <c r="F142" t="s">
        <v>533</v>
      </c>
      <c r="G142" t="s">
        <v>119</v>
      </c>
      <c r="H142" t="s">
        <v>531</v>
      </c>
      <c r="I142" t="s">
        <v>534</v>
      </c>
    </row>
    <row r="143" spans="1:9">
      <c r="A143" t="str">
        <f>"0213761 "</f>
        <v xml:space="preserve">0213761 </v>
      </c>
      <c r="B143" t="s">
        <v>115</v>
      </c>
      <c r="C143" t="s">
        <v>535</v>
      </c>
      <c r="D143" t="s">
        <v>536</v>
      </c>
      <c r="E143">
        <v>4</v>
      </c>
      <c r="F143" t="s">
        <v>537</v>
      </c>
      <c r="G143" t="s">
        <v>119</v>
      </c>
      <c r="H143" t="s">
        <v>535</v>
      </c>
      <c r="I143" t="s">
        <v>538</v>
      </c>
    </row>
    <row r="144" spans="1:9">
      <c r="A144" t="str">
        <f>"0213763 "</f>
        <v xml:space="preserve">0213763 </v>
      </c>
      <c r="B144" t="s">
        <v>115</v>
      </c>
      <c r="C144" t="s">
        <v>539</v>
      </c>
      <c r="D144" t="s">
        <v>540</v>
      </c>
      <c r="E144">
        <v>1</v>
      </c>
      <c r="F144" t="s">
        <v>541</v>
      </c>
      <c r="G144" t="s">
        <v>119</v>
      </c>
      <c r="H144" t="s">
        <v>539</v>
      </c>
      <c r="I144" t="s">
        <v>542</v>
      </c>
    </row>
    <row r="145" spans="1:9">
      <c r="A145" t="str">
        <f>"0213773 "</f>
        <v xml:space="preserve">0213773 </v>
      </c>
      <c r="B145" t="s">
        <v>115</v>
      </c>
      <c r="C145" t="s">
        <v>543</v>
      </c>
      <c r="D145" t="s">
        <v>544</v>
      </c>
      <c r="E145">
        <v>2</v>
      </c>
      <c r="F145" t="s">
        <v>545</v>
      </c>
      <c r="G145" t="s">
        <v>119</v>
      </c>
      <c r="H145" t="s">
        <v>543</v>
      </c>
      <c r="I145" t="s">
        <v>546</v>
      </c>
    </row>
    <row r="146" spans="1:9">
      <c r="A146" t="str">
        <f>"0213774 "</f>
        <v xml:space="preserve">0213774 </v>
      </c>
      <c r="B146" t="s">
        <v>115</v>
      </c>
      <c r="C146" t="s">
        <v>547</v>
      </c>
      <c r="D146" t="s">
        <v>548</v>
      </c>
      <c r="E146">
        <v>1</v>
      </c>
      <c r="F146" t="s">
        <v>549</v>
      </c>
      <c r="G146" t="s">
        <v>119</v>
      </c>
      <c r="H146" t="s">
        <v>547</v>
      </c>
      <c r="I146" t="s">
        <v>550</v>
      </c>
    </row>
    <row r="147" spans="1:9">
      <c r="A147" t="str">
        <f>"0213777 "</f>
        <v xml:space="preserve">0213777 </v>
      </c>
      <c r="B147" t="s">
        <v>115</v>
      </c>
      <c r="C147" t="s">
        <v>551</v>
      </c>
      <c r="D147" t="s">
        <v>552</v>
      </c>
      <c r="E147">
        <v>1</v>
      </c>
      <c r="F147" t="s">
        <v>171</v>
      </c>
      <c r="G147" t="s">
        <v>119</v>
      </c>
      <c r="H147" t="s">
        <v>551</v>
      </c>
      <c r="I147" t="s">
        <v>553</v>
      </c>
    </row>
    <row r="148" spans="1:9">
      <c r="A148" t="str">
        <f>"0213779 "</f>
        <v xml:space="preserve">0213779 </v>
      </c>
      <c r="B148" t="s">
        <v>115</v>
      </c>
      <c r="C148" t="s">
        <v>554</v>
      </c>
      <c r="D148" t="s">
        <v>555</v>
      </c>
      <c r="E148">
        <v>2</v>
      </c>
      <c r="F148" t="s">
        <v>272</v>
      </c>
      <c r="G148" t="s">
        <v>119</v>
      </c>
      <c r="H148" t="s">
        <v>554</v>
      </c>
      <c r="I148" t="s">
        <v>556</v>
      </c>
    </row>
    <row r="149" spans="1:9">
      <c r="A149" t="str">
        <f>"0213782 "</f>
        <v xml:space="preserve">0213782 </v>
      </c>
      <c r="B149" t="s">
        <v>115</v>
      </c>
      <c r="C149" t="s">
        <v>557</v>
      </c>
      <c r="D149" t="s">
        <v>558</v>
      </c>
      <c r="E149">
        <v>2</v>
      </c>
      <c r="F149" t="s">
        <v>559</v>
      </c>
      <c r="G149" t="s">
        <v>119</v>
      </c>
      <c r="H149" t="s">
        <v>557</v>
      </c>
      <c r="I149" t="s">
        <v>560</v>
      </c>
    </row>
    <row r="150" spans="1:9">
      <c r="A150" t="str">
        <f>"0213783 "</f>
        <v xml:space="preserve">0213783 </v>
      </c>
      <c r="B150" t="s">
        <v>115</v>
      </c>
      <c r="C150" t="s">
        <v>561</v>
      </c>
      <c r="D150" t="s">
        <v>562</v>
      </c>
      <c r="E150">
        <v>1</v>
      </c>
      <c r="F150" t="s">
        <v>563</v>
      </c>
      <c r="G150" t="s">
        <v>119</v>
      </c>
      <c r="H150" t="s">
        <v>561</v>
      </c>
      <c r="I150" t="s">
        <v>564</v>
      </c>
    </row>
    <row r="151" spans="1:9">
      <c r="A151" t="str">
        <f>"0213784 "</f>
        <v xml:space="preserve">0213784 </v>
      </c>
      <c r="B151" t="s">
        <v>115</v>
      </c>
      <c r="C151" t="s">
        <v>565</v>
      </c>
      <c r="D151" t="s">
        <v>566</v>
      </c>
      <c r="E151">
        <v>2</v>
      </c>
      <c r="F151" t="s">
        <v>567</v>
      </c>
      <c r="G151" t="s">
        <v>119</v>
      </c>
      <c r="H151" t="s">
        <v>565</v>
      </c>
      <c r="I151" t="s">
        <v>568</v>
      </c>
    </row>
    <row r="152" spans="1:9">
      <c r="A152" t="str">
        <f>"0213785 "</f>
        <v xml:space="preserve">0213785 </v>
      </c>
      <c r="B152" t="s">
        <v>115</v>
      </c>
      <c r="C152" t="s">
        <v>569</v>
      </c>
      <c r="D152" t="s">
        <v>570</v>
      </c>
      <c r="E152">
        <v>2</v>
      </c>
      <c r="F152" t="s">
        <v>537</v>
      </c>
      <c r="G152" t="s">
        <v>119</v>
      </c>
      <c r="H152" t="s">
        <v>569</v>
      </c>
      <c r="I152" t="s">
        <v>571</v>
      </c>
    </row>
    <row r="153" spans="1:9">
      <c r="A153" t="str">
        <f>"0213786 "</f>
        <v xml:space="preserve">0213786 </v>
      </c>
      <c r="B153" t="s">
        <v>115</v>
      </c>
      <c r="C153" t="s">
        <v>572</v>
      </c>
      <c r="D153" t="s">
        <v>573</v>
      </c>
      <c r="E153">
        <v>1</v>
      </c>
      <c r="F153" t="s">
        <v>574</v>
      </c>
      <c r="G153" t="s">
        <v>119</v>
      </c>
      <c r="H153" t="s">
        <v>572</v>
      </c>
      <c r="I153" t="s">
        <v>575</v>
      </c>
    </row>
    <row r="154" spans="1:9">
      <c r="A154" t="str">
        <f>"0213787 "</f>
        <v xml:space="preserve">0213787 </v>
      </c>
      <c r="B154" t="s">
        <v>115</v>
      </c>
      <c r="C154" t="s">
        <v>576</v>
      </c>
      <c r="D154" t="s">
        <v>577</v>
      </c>
      <c r="E154">
        <v>1</v>
      </c>
      <c r="F154" t="s">
        <v>578</v>
      </c>
      <c r="G154" t="s">
        <v>119</v>
      </c>
      <c r="H154" t="s">
        <v>576</v>
      </c>
      <c r="I154" t="s">
        <v>579</v>
      </c>
    </row>
    <row r="155" spans="1:9">
      <c r="A155" t="str">
        <f>"0213788 "</f>
        <v xml:space="preserve">0213788 </v>
      </c>
      <c r="B155" t="s">
        <v>115</v>
      </c>
      <c r="C155" t="s">
        <v>580</v>
      </c>
      <c r="D155" t="s">
        <v>581</v>
      </c>
      <c r="E155">
        <v>1</v>
      </c>
      <c r="F155" t="s">
        <v>582</v>
      </c>
      <c r="G155" t="s">
        <v>119</v>
      </c>
      <c r="H155" t="s">
        <v>580</v>
      </c>
      <c r="I155" t="s">
        <v>583</v>
      </c>
    </row>
    <row r="156" spans="1:9">
      <c r="A156" t="str">
        <f>"0213790 "</f>
        <v xml:space="preserve">0213790 </v>
      </c>
      <c r="B156" t="s">
        <v>115</v>
      </c>
      <c r="C156" t="s">
        <v>584</v>
      </c>
      <c r="D156" t="s">
        <v>585</v>
      </c>
      <c r="E156">
        <v>2</v>
      </c>
      <c r="F156" t="s">
        <v>586</v>
      </c>
      <c r="G156" t="s">
        <v>119</v>
      </c>
      <c r="H156" t="s">
        <v>584</v>
      </c>
      <c r="I156" t="s">
        <v>587</v>
      </c>
    </row>
    <row r="157" spans="1:9">
      <c r="A157" t="str">
        <f>"0213791 "</f>
        <v xml:space="preserve">0213791 </v>
      </c>
      <c r="B157" t="s">
        <v>115</v>
      </c>
      <c r="C157" t="s">
        <v>588</v>
      </c>
      <c r="D157" t="s">
        <v>589</v>
      </c>
      <c r="E157">
        <v>1</v>
      </c>
      <c r="F157" t="s">
        <v>590</v>
      </c>
      <c r="G157" t="s">
        <v>119</v>
      </c>
      <c r="H157" t="s">
        <v>588</v>
      </c>
      <c r="I157" t="s">
        <v>591</v>
      </c>
    </row>
    <row r="158" spans="1:9">
      <c r="A158" t="str">
        <f>"0213792 "</f>
        <v xml:space="preserve">0213792 </v>
      </c>
      <c r="B158" t="s">
        <v>115</v>
      </c>
      <c r="C158" t="s">
        <v>592</v>
      </c>
      <c r="D158" t="s">
        <v>593</v>
      </c>
      <c r="E158">
        <v>1</v>
      </c>
      <c r="F158" t="s">
        <v>594</v>
      </c>
      <c r="G158" t="s">
        <v>119</v>
      </c>
      <c r="H158" t="s">
        <v>592</v>
      </c>
      <c r="I158" t="s">
        <v>595</v>
      </c>
    </row>
    <row r="159" spans="1:9">
      <c r="A159" t="str">
        <f>"0213796 "</f>
        <v xml:space="preserve">0213796 </v>
      </c>
      <c r="B159" t="s">
        <v>115</v>
      </c>
      <c r="C159" t="s">
        <v>596</v>
      </c>
      <c r="D159" t="s">
        <v>597</v>
      </c>
      <c r="E159">
        <v>1</v>
      </c>
      <c r="F159" t="s">
        <v>586</v>
      </c>
      <c r="G159" t="s">
        <v>119</v>
      </c>
      <c r="H159" t="s">
        <v>596</v>
      </c>
      <c r="I159" t="s">
        <v>598</v>
      </c>
    </row>
    <row r="160" spans="1:9">
      <c r="A160" t="str">
        <f>"0213798 "</f>
        <v xml:space="preserve">0213798 </v>
      </c>
      <c r="B160" t="s">
        <v>115</v>
      </c>
      <c r="C160" t="s">
        <v>599</v>
      </c>
      <c r="D160" t="s">
        <v>600</v>
      </c>
      <c r="E160">
        <v>1</v>
      </c>
      <c r="F160" t="s">
        <v>601</v>
      </c>
      <c r="G160" t="s">
        <v>119</v>
      </c>
      <c r="H160" t="s">
        <v>599</v>
      </c>
      <c r="I160" t="s">
        <v>602</v>
      </c>
    </row>
    <row r="161" spans="1:9">
      <c r="A161" t="str">
        <f>"0213801 "</f>
        <v xml:space="preserve">0213801 </v>
      </c>
      <c r="B161" t="s">
        <v>115</v>
      </c>
      <c r="C161" t="s">
        <v>603</v>
      </c>
      <c r="D161" t="s">
        <v>604</v>
      </c>
      <c r="E161">
        <v>1</v>
      </c>
      <c r="F161" t="s">
        <v>605</v>
      </c>
      <c r="G161" t="s">
        <v>119</v>
      </c>
      <c r="H161" t="s">
        <v>603</v>
      </c>
      <c r="I161" t="s">
        <v>606</v>
      </c>
    </row>
    <row r="162" spans="1:9">
      <c r="A162" t="str">
        <f>"0213805 "</f>
        <v xml:space="preserve">0213805 </v>
      </c>
      <c r="B162" t="s">
        <v>115</v>
      </c>
      <c r="C162" t="s">
        <v>607</v>
      </c>
      <c r="D162" t="s">
        <v>608</v>
      </c>
      <c r="E162">
        <v>2</v>
      </c>
      <c r="F162" t="s">
        <v>537</v>
      </c>
      <c r="G162" t="s">
        <v>119</v>
      </c>
      <c r="H162" t="s">
        <v>607</v>
      </c>
      <c r="I162" t="s">
        <v>609</v>
      </c>
    </row>
    <row r="163" spans="1:9">
      <c r="A163" t="str">
        <f>"0213806 "</f>
        <v xml:space="preserve">0213806 </v>
      </c>
      <c r="B163" t="s">
        <v>115</v>
      </c>
      <c r="C163" t="s">
        <v>610</v>
      </c>
      <c r="D163" t="s">
        <v>611</v>
      </c>
      <c r="E163">
        <v>1</v>
      </c>
      <c r="F163" t="s">
        <v>612</v>
      </c>
      <c r="G163" t="s">
        <v>119</v>
      </c>
      <c r="H163" t="s">
        <v>610</v>
      </c>
      <c r="I163" t="s">
        <v>613</v>
      </c>
    </row>
    <row r="164" spans="1:9">
      <c r="A164" t="str">
        <f>"0213814 "</f>
        <v xml:space="preserve">0213814 </v>
      </c>
      <c r="B164" t="s">
        <v>115</v>
      </c>
      <c r="C164" t="s">
        <v>614</v>
      </c>
      <c r="D164" t="s">
        <v>615</v>
      </c>
      <c r="E164">
        <v>2</v>
      </c>
      <c r="F164" t="s">
        <v>616</v>
      </c>
      <c r="G164" t="s">
        <v>119</v>
      </c>
      <c r="H164" t="s">
        <v>614</v>
      </c>
      <c r="I164" t="s">
        <v>617</v>
      </c>
    </row>
    <row r="165" spans="1:9">
      <c r="A165" t="str">
        <f>"0213815 "</f>
        <v xml:space="preserve">0213815 </v>
      </c>
      <c r="B165" t="s">
        <v>115</v>
      </c>
      <c r="C165" t="s">
        <v>618</v>
      </c>
      <c r="D165" t="s">
        <v>619</v>
      </c>
      <c r="E165">
        <v>2</v>
      </c>
      <c r="F165" t="s">
        <v>620</v>
      </c>
      <c r="G165" t="s">
        <v>119</v>
      </c>
      <c r="H165" t="s">
        <v>618</v>
      </c>
      <c r="I165" t="s">
        <v>621</v>
      </c>
    </row>
    <row r="166" spans="1:9">
      <c r="A166" t="str">
        <f>"0213816 "</f>
        <v xml:space="preserve">0213816 </v>
      </c>
      <c r="B166" t="s">
        <v>115</v>
      </c>
      <c r="C166" t="s">
        <v>622</v>
      </c>
      <c r="D166" t="s">
        <v>623</v>
      </c>
      <c r="E166">
        <v>1</v>
      </c>
      <c r="F166" t="s">
        <v>624</v>
      </c>
      <c r="G166" t="s">
        <v>119</v>
      </c>
      <c r="H166" t="s">
        <v>622</v>
      </c>
      <c r="I166" t="s">
        <v>625</v>
      </c>
    </row>
    <row r="167" spans="1:9">
      <c r="A167" t="str">
        <f>"0213817 "</f>
        <v xml:space="preserve">0213817 </v>
      </c>
      <c r="B167" t="s">
        <v>115</v>
      </c>
      <c r="C167" t="s">
        <v>626</v>
      </c>
      <c r="D167" t="s">
        <v>627</v>
      </c>
      <c r="E167">
        <v>1</v>
      </c>
      <c r="F167" t="s">
        <v>401</v>
      </c>
      <c r="G167" t="s">
        <v>119</v>
      </c>
      <c r="H167" t="s">
        <v>626</v>
      </c>
      <c r="I167" t="s">
        <v>628</v>
      </c>
    </row>
    <row r="168" spans="1:9">
      <c r="A168" t="str">
        <f>"0213826 "</f>
        <v xml:space="preserve">0213826 </v>
      </c>
      <c r="B168" t="s">
        <v>115</v>
      </c>
      <c r="C168" t="s">
        <v>629</v>
      </c>
      <c r="D168" t="s">
        <v>630</v>
      </c>
      <c r="E168">
        <v>1</v>
      </c>
      <c r="F168" t="s">
        <v>631</v>
      </c>
      <c r="G168" t="s">
        <v>119</v>
      </c>
      <c r="H168" t="s">
        <v>629</v>
      </c>
      <c r="I168" t="s">
        <v>632</v>
      </c>
    </row>
    <row r="169" spans="1:9">
      <c r="A169" t="str">
        <f>"0213827 "</f>
        <v xml:space="preserve">0213827 </v>
      </c>
      <c r="B169" t="s">
        <v>115</v>
      </c>
      <c r="C169" t="s">
        <v>633</v>
      </c>
      <c r="D169" t="s">
        <v>634</v>
      </c>
      <c r="E169">
        <v>1</v>
      </c>
      <c r="F169" t="s">
        <v>635</v>
      </c>
      <c r="G169" t="s">
        <v>119</v>
      </c>
      <c r="H169" t="s">
        <v>633</v>
      </c>
      <c r="I169" t="s">
        <v>636</v>
      </c>
    </row>
    <row r="170" spans="1:9">
      <c r="A170" t="str">
        <f>"0213831 "</f>
        <v xml:space="preserve">0213831 </v>
      </c>
      <c r="B170" t="s">
        <v>115</v>
      </c>
      <c r="C170" t="s">
        <v>637</v>
      </c>
      <c r="D170" t="s">
        <v>638</v>
      </c>
      <c r="E170">
        <v>1</v>
      </c>
      <c r="F170" t="s">
        <v>127</v>
      </c>
      <c r="G170" t="s">
        <v>119</v>
      </c>
      <c r="H170" t="s">
        <v>637</v>
      </c>
      <c r="I170" t="s">
        <v>639</v>
      </c>
    </row>
    <row r="171" spans="1:9">
      <c r="A171" t="str">
        <f>"0213836 "</f>
        <v xml:space="preserve">0213836 </v>
      </c>
      <c r="B171" t="s">
        <v>115</v>
      </c>
      <c r="C171" t="s">
        <v>640</v>
      </c>
      <c r="D171" t="s">
        <v>641</v>
      </c>
      <c r="E171">
        <v>1</v>
      </c>
      <c r="F171" t="s">
        <v>642</v>
      </c>
      <c r="G171" t="s">
        <v>119</v>
      </c>
      <c r="H171" t="s">
        <v>640</v>
      </c>
      <c r="I171" t="s">
        <v>643</v>
      </c>
    </row>
    <row r="172" spans="1:9">
      <c r="A172" t="str">
        <f>"0213841 "</f>
        <v xml:space="preserve">0213841 </v>
      </c>
      <c r="B172" t="s">
        <v>115</v>
      </c>
      <c r="C172" t="s">
        <v>644</v>
      </c>
      <c r="D172" t="s">
        <v>645</v>
      </c>
      <c r="E172">
        <v>1</v>
      </c>
      <c r="F172" t="s">
        <v>217</v>
      </c>
      <c r="G172" t="s">
        <v>119</v>
      </c>
      <c r="H172" t="s">
        <v>644</v>
      </c>
      <c r="I172" t="s">
        <v>646</v>
      </c>
    </row>
    <row r="173" spans="1:9">
      <c r="A173" t="str">
        <f>"0213843 "</f>
        <v xml:space="preserve">0213843 </v>
      </c>
      <c r="B173" t="s">
        <v>115</v>
      </c>
      <c r="C173" t="s">
        <v>647</v>
      </c>
      <c r="D173" t="s">
        <v>648</v>
      </c>
      <c r="E173">
        <v>5</v>
      </c>
      <c r="F173" t="s">
        <v>393</v>
      </c>
      <c r="G173" t="s">
        <v>119</v>
      </c>
      <c r="H173" t="s">
        <v>647</v>
      </c>
      <c r="I173" t="s">
        <v>649</v>
      </c>
    </row>
    <row r="174" spans="1:9">
      <c r="A174" t="str">
        <f>"0213850 "</f>
        <v xml:space="preserve">0213850 </v>
      </c>
      <c r="B174" t="s">
        <v>115</v>
      </c>
      <c r="C174" t="s">
        <v>650</v>
      </c>
      <c r="D174" t="s">
        <v>651</v>
      </c>
      <c r="E174">
        <v>1</v>
      </c>
      <c r="F174" t="s">
        <v>500</v>
      </c>
      <c r="G174" t="s">
        <v>119</v>
      </c>
      <c r="H174" t="s">
        <v>650</v>
      </c>
      <c r="I174" t="s">
        <v>652</v>
      </c>
    </row>
    <row r="175" spans="1:9">
      <c r="A175" t="str">
        <f>"0213863 "</f>
        <v xml:space="preserve">0213863 </v>
      </c>
      <c r="B175" t="s">
        <v>115</v>
      </c>
      <c r="C175" t="s">
        <v>653</v>
      </c>
      <c r="D175" t="s">
        <v>654</v>
      </c>
      <c r="E175">
        <v>1</v>
      </c>
      <c r="F175" t="s">
        <v>655</v>
      </c>
      <c r="G175" t="s">
        <v>119</v>
      </c>
      <c r="H175" t="s">
        <v>653</v>
      </c>
      <c r="I175" t="s">
        <v>656</v>
      </c>
    </row>
    <row r="176" spans="1:9">
      <c r="A176" t="str">
        <f>"0213866 "</f>
        <v xml:space="preserve">0213866 </v>
      </c>
      <c r="B176" t="s">
        <v>115</v>
      </c>
      <c r="C176" t="s">
        <v>657</v>
      </c>
      <c r="D176" t="s">
        <v>658</v>
      </c>
      <c r="E176">
        <v>2</v>
      </c>
      <c r="F176" t="s">
        <v>659</v>
      </c>
      <c r="G176" t="s">
        <v>119</v>
      </c>
      <c r="H176" t="s">
        <v>657</v>
      </c>
      <c r="I176" t="s">
        <v>660</v>
      </c>
    </row>
    <row r="177" spans="1:9">
      <c r="A177" t="str">
        <f>"0213870 "</f>
        <v xml:space="preserve">0213870 </v>
      </c>
      <c r="B177" t="s">
        <v>115</v>
      </c>
      <c r="C177" t="s">
        <v>661</v>
      </c>
      <c r="D177" t="s">
        <v>662</v>
      </c>
      <c r="E177">
        <v>2</v>
      </c>
      <c r="F177" t="s">
        <v>663</v>
      </c>
      <c r="G177" t="s">
        <v>119</v>
      </c>
      <c r="H177" t="s">
        <v>661</v>
      </c>
      <c r="I177" t="s">
        <v>664</v>
      </c>
    </row>
    <row r="178" spans="1:9">
      <c r="A178" t="str">
        <f>"0213871 "</f>
        <v xml:space="preserve">0213871 </v>
      </c>
      <c r="B178" t="s">
        <v>115</v>
      </c>
      <c r="C178" t="s">
        <v>665</v>
      </c>
      <c r="D178" t="s">
        <v>666</v>
      </c>
      <c r="E178">
        <v>2</v>
      </c>
      <c r="F178" t="s">
        <v>667</v>
      </c>
      <c r="G178" t="s">
        <v>119</v>
      </c>
      <c r="H178" t="s">
        <v>665</v>
      </c>
      <c r="I178" t="s">
        <v>668</v>
      </c>
    </row>
    <row r="179" spans="1:9">
      <c r="A179" t="str">
        <f>"0213873 "</f>
        <v xml:space="preserve">0213873 </v>
      </c>
      <c r="B179" t="s">
        <v>115</v>
      </c>
      <c r="C179" t="s">
        <v>669</v>
      </c>
      <c r="D179" t="s">
        <v>670</v>
      </c>
      <c r="E179">
        <v>2</v>
      </c>
      <c r="F179" t="s">
        <v>671</v>
      </c>
      <c r="G179" t="s">
        <v>119</v>
      </c>
      <c r="H179" t="s">
        <v>669</v>
      </c>
      <c r="I179" t="s">
        <v>672</v>
      </c>
    </row>
    <row r="180" spans="1:9">
      <c r="A180" t="str">
        <f>"0213876 "</f>
        <v xml:space="preserve">0213876 </v>
      </c>
      <c r="B180" t="s">
        <v>115</v>
      </c>
      <c r="C180" t="s">
        <v>673</v>
      </c>
      <c r="D180" t="s">
        <v>674</v>
      </c>
      <c r="E180">
        <v>2</v>
      </c>
      <c r="F180" t="s">
        <v>675</v>
      </c>
      <c r="G180" t="s">
        <v>119</v>
      </c>
      <c r="H180" t="s">
        <v>673</v>
      </c>
      <c r="I180" t="s">
        <v>676</v>
      </c>
    </row>
    <row r="181" spans="1:9">
      <c r="A181" t="str">
        <f>"0213882 "</f>
        <v xml:space="preserve">0213882 </v>
      </c>
      <c r="B181" t="s">
        <v>115</v>
      </c>
      <c r="C181" t="s">
        <v>677</v>
      </c>
      <c r="D181" t="s">
        <v>678</v>
      </c>
      <c r="E181">
        <v>2</v>
      </c>
      <c r="F181" t="s">
        <v>679</v>
      </c>
      <c r="G181" t="s">
        <v>119</v>
      </c>
      <c r="H181" t="s">
        <v>677</v>
      </c>
      <c r="I181" t="s">
        <v>680</v>
      </c>
    </row>
    <row r="182" spans="1:9">
      <c r="A182" t="str">
        <f>"0213883 "</f>
        <v xml:space="preserve">0213883 </v>
      </c>
      <c r="B182" t="s">
        <v>115</v>
      </c>
      <c r="C182" t="s">
        <v>681</v>
      </c>
      <c r="D182" t="s">
        <v>682</v>
      </c>
      <c r="E182">
        <v>1</v>
      </c>
      <c r="F182" t="s">
        <v>268</v>
      </c>
      <c r="G182" t="s">
        <v>119</v>
      </c>
      <c r="H182" t="s">
        <v>681</v>
      </c>
      <c r="I182" t="s">
        <v>683</v>
      </c>
    </row>
    <row r="183" spans="1:9">
      <c r="A183" t="str">
        <f>"0213887 "</f>
        <v xml:space="preserve">0213887 </v>
      </c>
      <c r="B183" t="s">
        <v>115</v>
      </c>
      <c r="C183" t="s">
        <v>684</v>
      </c>
      <c r="D183" t="s">
        <v>685</v>
      </c>
      <c r="E183">
        <v>1</v>
      </c>
      <c r="F183" t="s">
        <v>686</v>
      </c>
      <c r="G183" t="s">
        <v>119</v>
      </c>
      <c r="H183" t="s">
        <v>684</v>
      </c>
      <c r="I183" t="s">
        <v>687</v>
      </c>
    </row>
    <row r="184" spans="1:9">
      <c r="A184" t="str">
        <f>"0213895 "</f>
        <v xml:space="preserve">0213895 </v>
      </c>
      <c r="B184" t="s">
        <v>115</v>
      </c>
      <c r="C184" t="s">
        <v>688</v>
      </c>
      <c r="D184" t="s">
        <v>689</v>
      </c>
      <c r="E184">
        <v>4</v>
      </c>
      <c r="F184" t="s">
        <v>690</v>
      </c>
      <c r="G184" t="s">
        <v>119</v>
      </c>
      <c r="H184" t="s">
        <v>688</v>
      </c>
      <c r="I184" t="s">
        <v>691</v>
      </c>
    </row>
    <row r="185" spans="1:9">
      <c r="A185" t="str">
        <f>"0213899 "</f>
        <v xml:space="preserve">0213899 </v>
      </c>
      <c r="B185" t="s">
        <v>115</v>
      </c>
      <c r="C185" t="s">
        <v>692</v>
      </c>
      <c r="D185" t="s">
        <v>693</v>
      </c>
      <c r="E185">
        <v>1</v>
      </c>
      <c r="F185" t="s">
        <v>489</v>
      </c>
      <c r="G185" t="s">
        <v>119</v>
      </c>
      <c r="H185" t="s">
        <v>692</v>
      </c>
      <c r="I185" t="s">
        <v>694</v>
      </c>
    </row>
    <row r="186" spans="1:9">
      <c r="A186" t="str">
        <f>"0213901 "</f>
        <v xml:space="preserve">0213901 </v>
      </c>
      <c r="B186" t="s">
        <v>115</v>
      </c>
      <c r="C186" t="s">
        <v>695</v>
      </c>
      <c r="D186" t="s">
        <v>696</v>
      </c>
      <c r="E186">
        <v>2</v>
      </c>
      <c r="F186" t="s">
        <v>450</v>
      </c>
      <c r="G186" t="s">
        <v>119</v>
      </c>
      <c r="H186" t="s">
        <v>695</v>
      </c>
      <c r="I186" t="s">
        <v>697</v>
      </c>
    </row>
    <row r="187" spans="1:9">
      <c r="A187" t="str">
        <f>"0213906 "</f>
        <v xml:space="preserve">0213906 </v>
      </c>
      <c r="B187" t="s">
        <v>115</v>
      </c>
      <c r="C187" t="s">
        <v>698</v>
      </c>
      <c r="D187" t="s">
        <v>699</v>
      </c>
      <c r="E187">
        <v>2</v>
      </c>
      <c r="F187" t="s">
        <v>700</v>
      </c>
      <c r="G187" t="s">
        <v>119</v>
      </c>
      <c r="H187" t="s">
        <v>698</v>
      </c>
      <c r="I187" t="s">
        <v>701</v>
      </c>
    </row>
    <row r="188" spans="1:9">
      <c r="A188" t="str">
        <f>"0213912 "</f>
        <v xml:space="preserve">0213912 </v>
      </c>
      <c r="B188" t="s">
        <v>115</v>
      </c>
      <c r="C188" t="s">
        <v>702</v>
      </c>
      <c r="D188" t="s">
        <v>703</v>
      </c>
      <c r="E188">
        <v>1</v>
      </c>
      <c r="F188" t="s">
        <v>704</v>
      </c>
      <c r="G188" t="s">
        <v>119</v>
      </c>
      <c r="H188" t="s">
        <v>702</v>
      </c>
      <c r="I188" t="s">
        <v>705</v>
      </c>
    </row>
    <row r="189" spans="1:9">
      <c r="A189" t="str">
        <f>"0213914 "</f>
        <v xml:space="preserve">0213914 </v>
      </c>
      <c r="B189" t="s">
        <v>115</v>
      </c>
      <c r="C189" t="s">
        <v>706</v>
      </c>
      <c r="D189" t="s">
        <v>707</v>
      </c>
      <c r="E189">
        <v>1</v>
      </c>
      <c r="F189" t="s">
        <v>708</v>
      </c>
      <c r="G189" t="s">
        <v>119</v>
      </c>
      <c r="H189" t="s">
        <v>706</v>
      </c>
      <c r="I189" t="s">
        <v>709</v>
      </c>
    </row>
    <row r="190" spans="1:9">
      <c r="A190" t="str">
        <f>"0213915 "</f>
        <v xml:space="preserve">0213915 </v>
      </c>
      <c r="B190" t="s">
        <v>115</v>
      </c>
      <c r="C190" t="s">
        <v>710</v>
      </c>
      <c r="D190" t="s">
        <v>711</v>
      </c>
      <c r="E190">
        <v>3</v>
      </c>
      <c r="F190" t="s">
        <v>712</v>
      </c>
      <c r="G190" t="s">
        <v>119</v>
      </c>
      <c r="H190" t="s">
        <v>710</v>
      </c>
      <c r="I190" t="s">
        <v>713</v>
      </c>
    </row>
    <row r="191" spans="1:9">
      <c r="A191" t="str">
        <f>"0213920 "</f>
        <v xml:space="preserve">0213920 </v>
      </c>
      <c r="B191" t="s">
        <v>115</v>
      </c>
      <c r="C191" t="s">
        <v>714</v>
      </c>
      <c r="D191" t="s">
        <v>715</v>
      </c>
      <c r="E191">
        <v>1</v>
      </c>
      <c r="F191" t="s">
        <v>716</v>
      </c>
      <c r="G191" t="s">
        <v>119</v>
      </c>
      <c r="H191" t="s">
        <v>714</v>
      </c>
      <c r="I191" t="s">
        <v>717</v>
      </c>
    </row>
    <row r="192" spans="1:9">
      <c r="A192" t="str">
        <f>"0213921 "</f>
        <v xml:space="preserve">0213921 </v>
      </c>
      <c r="B192" t="s">
        <v>115</v>
      </c>
      <c r="C192" t="s">
        <v>718</v>
      </c>
      <c r="D192" t="s">
        <v>719</v>
      </c>
      <c r="E192">
        <v>1</v>
      </c>
      <c r="F192" t="s">
        <v>720</v>
      </c>
      <c r="G192" t="s">
        <v>119</v>
      </c>
      <c r="H192" t="s">
        <v>718</v>
      </c>
      <c r="I192" t="s">
        <v>721</v>
      </c>
    </row>
    <row r="193" spans="1:9">
      <c r="A193" t="str">
        <f>"0213925 "</f>
        <v xml:space="preserve">0213925 </v>
      </c>
      <c r="B193" t="s">
        <v>115</v>
      </c>
      <c r="C193" t="s">
        <v>722</v>
      </c>
      <c r="D193" t="s">
        <v>723</v>
      </c>
      <c r="E193">
        <v>1</v>
      </c>
      <c r="F193" t="s">
        <v>724</v>
      </c>
      <c r="G193" t="s">
        <v>119</v>
      </c>
      <c r="H193" t="s">
        <v>722</v>
      </c>
      <c r="I193" t="s">
        <v>725</v>
      </c>
    </row>
    <row r="194" spans="1:9">
      <c r="A194" t="str">
        <f>"0213927 "</f>
        <v xml:space="preserve">0213927 </v>
      </c>
      <c r="B194" t="s">
        <v>115</v>
      </c>
      <c r="C194" t="s">
        <v>726</v>
      </c>
      <c r="D194" t="s">
        <v>727</v>
      </c>
      <c r="E194">
        <v>2</v>
      </c>
      <c r="F194" t="s">
        <v>728</v>
      </c>
      <c r="G194" t="s">
        <v>119</v>
      </c>
      <c r="H194" t="s">
        <v>726</v>
      </c>
      <c r="I194" t="s">
        <v>729</v>
      </c>
    </row>
    <row r="195" spans="1:9">
      <c r="A195" t="str">
        <f>"0213929 "</f>
        <v xml:space="preserve">0213929 </v>
      </c>
      <c r="B195" t="s">
        <v>115</v>
      </c>
      <c r="C195" t="s">
        <v>730</v>
      </c>
      <c r="D195" t="s">
        <v>731</v>
      </c>
      <c r="E195">
        <v>1</v>
      </c>
      <c r="F195" t="s">
        <v>413</v>
      </c>
      <c r="G195" t="s">
        <v>119</v>
      </c>
      <c r="H195" t="s">
        <v>730</v>
      </c>
      <c r="I195" t="s">
        <v>732</v>
      </c>
    </row>
    <row r="196" spans="1:9">
      <c r="A196" t="str">
        <f>"0213931 "</f>
        <v xml:space="preserve">0213931 </v>
      </c>
      <c r="B196" t="s">
        <v>115</v>
      </c>
      <c r="C196" t="s">
        <v>733</v>
      </c>
      <c r="D196" t="s">
        <v>734</v>
      </c>
      <c r="E196">
        <v>1</v>
      </c>
      <c r="F196" t="s">
        <v>735</v>
      </c>
      <c r="G196" t="s">
        <v>119</v>
      </c>
      <c r="H196" t="s">
        <v>733</v>
      </c>
      <c r="I196" t="s">
        <v>736</v>
      </c>
    </row>
    <row r="197" spans="1:9">
      <c r="A197" t="str">
        <f>"0213934 "</f>
        <v xml:space="preserve">0213934 </v>
      </c>
      <c r="B197" t="s">
        <v>115</v>
      </c>
      <c r="C197" t="s">
        <v>737</v>
      </c>
      <c r="D197" t="s">
        <v>738</v>
      </c>
      <c r="E197">
        <v>1</v>
      </c>
      <c r="F197" t="s">
        <v>739</v>
      </c>
      <c r="G197" t="s">
        <v>119</v>
      </c>
      <c r="H197" t="s">
        <v>737</v>
      </c>
      <c r="I197" t="s">
        <v>740</v>
      </c>
    </row>
    <row r="198" spans="1:9">
      <c r="A198" t="str">
        <f>"0213936 "</f>
        <v xml:space="preserve">0213936 </v>
      </c>
      <c r="B198" t="s">
        <v>115</v>
      </c>
      <c r="C198" t="s">
        <v>741</v>
      </c>
      <c r="D198" t="s">
        <v>742</v>
      </c>
      <c r="E198">
        <v>1</v>
      </c>
      <c r="F198" t="s">
        <v>743</v>
      </c>
      <c r="G198" t="s">
        <v>119</v>
      </c>
      <c r="H198" t="s">
        <v>741</v>
      </c>
      <c r="I198" t="s">
        <v>744</v>
      </c>
    </row>
    <row r="199" spans="1:9">
      <c r="A199" t="str">
        <f>"0213945 "</f>
        <v xml:space="preserve">0213945 </v>
      </c>
      <c r="B199" t="s">
        <v>115</v>
      </c>
      <c r="C199" t="s">
        <v>745</v>
      </c>
      <c r="D199" t="s">
        <v>746</v>
      </c>
      <c r="E199">
        <v>1</v>
      </c>
      <c r="F199" t="s">
        <v>747</v>
      </c>
      <c r="G199" t="s">
        <v>119</v>
      </c>
      <c r="H199" t="s">
        <v>745</v>
      </c>
      <c r="I199" t="s">
        <v>748</v>
      </c>
    </row>
    <row r="200" spans="1:9">
      <c r="A200" t="str">
        <f>"0213947 "</f>
        <v xml:space="preserve">0213947 </v>
      </c>
      <c r="B200" t="s">
        <v>115</v>
      </c>
      <c r="C200" t="s">
        <v>749</v>
      </c>
      <c r="D200" t="s">
        <v>750</v>
      </c>
      <c r="E200">
        <v>1</v>
      </c>
      <c r="F200" t="s">
        <v>612</v>
      </c>
      <c r="G200" t="s">
        <v>119</v>
      </c>
      <c r="H200" t="s">
        <v>749</v>
      </c>
      <c r="I200" t="s">
        <v>751</v>
      </c>
    </row>
    <row r="201" spans="1:9">
      <c r="A201" t="str">
        <f>"0213949 "</f>
        <v xml:space="preserve">0213949 </v>
      </c>
      <c r="B201" t="s">
        <v>115</v>
      </c>
      <c r="C201" t="s">
        <v>752</v>
      </c>
      <c r="D201" t="s">
        <v>753</v>
      </c>
      <c r="E201">
        <v>1</v>
      </c>
      <c r="F201" t="s">
        <v>754</v>
      </c>
      <c r="G201" t="s">
        <v>119</v>
      </c>
      <c r="H201" t="s">
        <v>752</v>
      </c>
      <c r="I201" t="s">
        <v>755</v>
      </c>
    </row>
    <row r="202" spans="1:9">
      <c r="A202" t="str">
        <f>"0213956 "</f>
        <v xml:space="preserve">0213956 </v>
      </c>
      <c r="B202" t="s">
        <v>115</v>
      </c>
      <c r="C202" t="s">
        <v>756</v>
      </c>
      <c r="D202" t="s">
        <v>757</v>
      </c>
      <c r="E202">
        <v>2</v>
      </c>
      <c r="F202" t="s">
        <v>389</v>
      </c>
      <c r="G202" t="s">
        <v>119</v>
      </c>
      <c r="H202" t="s">
        <v>756</v>
      </c>
      <c r="I202" t="s">
        <v>758</v>
      </c>
    </row>
    <row r="203" spans="1:9">
      <c r="A203" t="str">
        <f>"0213963 "</f>
        <v xml:space="preserve">0213963 </v>
      </c>
      <c r="B203" t="s">
        <v>115</v>
      </c>
      <c r="C203" t="s">
        <v>759</v>
      </c>
      <c r="D203" t="s">
        <v>760</v>
      </c>
      <c r="E203">
        <v>2</v>
      </c>
      <c r="F203" t="s">
        <v>761</v>
      </c>
      <c r="G203" t="s">
        <v>119</v>
      </c>
      <c r="H203" t="s">
        <v>759</v>
      </c>
      <c r="I203" t="s">
        <v>762</v>
      </c>
    </row>
    <row r="204" spans="1:9">
      <c r="A204" t="str">
        <f>"0213967 "</f>
        <v xml:space="preserve">0213967 </v>
      </c>
      <c r="B204" t="s">
        <v>115</v>
      </c>
      <c r="C204" t="s">
        <v>763</v>
      </c>
      <c r="D204" t="s">
        <v>764</v>
      </c>
      <c r="E204">
        <v>2</v>
      </c>
      <c r="F204" t="s">
        <v>765</v>
      </c>
      <c r="G204" t="s">
        <v>119</v>
      </c>
      <c r="H204" t="s">
        <v>763</v>
      </c>
      <c r="I204" t="s">
        <v>766</v>
      </c>
    </row>
    <row r="205" spans="1:9">
      <c r="A205" t="str">
        <f>"0213969 "</f>
        <v xml:space="preserve">0213969 </v>
      </c>
      <c r="B205" t="s">
        <v>115</v>
      </c>
      <c r="C205" t="s">
        <v>767</v>
      </c>
      <c r="D205" t="s">
        <v>768</v>
      </c>
      <c r="E205">
        <v>2</v>
      </c>
      <c r="F205" t="s">
        <v>397</v>
      </c>
      <c r="G205" t="s">
        <v>119</v>
      </c>
      <c r="H205" t="s">
        <v>767</v>
      </c>
      <c r="I205" t="s">
        <v>769</v>
      </c>
    </row>
    <row r="206" spans="1:9">
      <c r="A206" t="str">
        <f>"0213970 "</f>
        <v xml:space="preserve">0213970 </v>
      </c>
      <c r="B206" t="s">
        <v>115</v>
      </c>
      <c r="C206" t="s">
        <v>770</v>
      </c>
      <c r="D206" t="s">
        <v>771</v>
      </c>
      <c r="E206">
        <v>1</v>
      </c>
      <c r="F206" t="s">
        <v>292</v>
      </c>
      <c r="G206" t="s">
        <v>119</v>
      </c>
      <c r="H206" t="s">
        <v>770</v>
      </c>
      <c r="I206" t="s">
        <v>772</v>
      </c>
    </row>
    <row r="207" spans="1:9">
      <c r="A207" t="str">
        <f>"0213978 "</f>
        <v xml:space="preserve">0213978 </v>
      </c>
      <c r="B207" t="s">
        <v>115</v>
      </c>
      <c r="C207" t="s">
        <v>773</v>
      </c>
      <c r="D207" t="s">
        <v>774</v>
      </c>
      <c r="E207">
        <v>1</v>
      </c>
      <c r="F207" t="s">
        <v>775</v>
      </c>
      <c r="G207" t="s">
        <v>119</v>
      </c>
      <c r="H207" t="s">
        <v>773</v>
      </c>
      <c r="I207" t="s">
        <v>776</v>
      </c>
    </row>
    <row r="208" spans="1:9">
      <c r="A208" t="str">
        <f>"0213979 "</f>
        <v xml:space="preserve">0213979 </v>
      </c>
      <c r="B208" t="s">
        <v>115</v>
      </c>
      <c r="C208" t="s">
        <v>777</v>
      </c>
      <c r="D208" t="s">
        <v>778</v>
      </c>
      <c r="E208">
        <v>1</v>
      </c>
      <c r="F208" t="s">
        <v>779</v>
      </c>
      <c r="G208" t="s">
        <v>119</v>
      </c>
      <c r="H208" t="s">
        <v>777</v>
      </c>
      <c r="I208" t="s">
        <v>780</v>
      </c>
    </row>
    <row r="209" spans="1:9">
      <c r="A209" t="str">
        <f>"0213991 "</f>
        <v xml:space="preserve">0213991 </v>
      </c>
      <c r="B209" t="s">
        <v>115</v>
      </c>
      <c r="C209" t="s">
        <v>781</v>
      </c>
      <c r="D209" t="s">
        <v>782</v>
      </c>
      <c r="E209">
        <v>2</v>
      </c>
      <c r="F209" t="s">
        <v>783</v>
      </c>
      <c r="G209" t="s">
        <v>119</v>
      </c>
      <c r="H209" t="s">
        <v>781</v>
      </c>
      <c r="I209" t="s">
        <v>784</v>
      </c>
    </row>
    <row r="210" spans="1:9">
      <c r="A210" t="str">
        <f>"0213992 "</f>
        <v xml:space="preserve">0213992 </v>
      </c>
      <c r="B210" t="s">
        <v>115</v>
      </c>
      <c r="C210" t="s">
        <v>785</v>
      </c>
      <c r="D210" t="s">
        <v>786</v>
      </c>
      <c r="E210">
        <v>1</v>
      </c>
      <c r="F210" t="s">
        <v>787</v>
      </c>
      <c r="G210" t="s">
        <v>119</v>
      </c>
      <c r="H210" t="s">
        <v>785</v>
      </c>
      <c r="I210" t="s">
        <v>788</v>
      </c>
    </row>
    <row r="211" spans="1:9">
      <c r="A211" t="str">
        <f>"0213997 "</f>
        <v xml:space="preserve">0213997 </v>
      </c>
      <c r="B211" t="s">
        <v>115</v>
      </c>
      <c r="C211" t="s">
        <v>789</v>
      </c>
      <c r="D211" t="s">
        <v>790</v>
      </c>
      <c r="E211">
        <v>4</v>
      </c>
      <c r="F211" t="s">
        <v>791</v>
      </c>
      <c r="G211" t="s">
        <v>119</v>
      </c>
      <c r="H211" t="s">
        <v>789</v>
      </c>
      <c r="I211" t="s">
        <v>792</v>
      </c>
    </row>
    <row r="212" spans="1:9">
      <c r="A212" t="str">
        <f>"0213998 "</f>
        <v xml:space="preserve">0213998 </v>
      </c>
      <c r="B212" t="s">
        <v>115</v>
      </c>
      <c r="C212" t="s">
        <v>793</v>
      </c>
      <c r="D212" t="s">
        <v>794</v>
      </c>
      <c r="E212">
        <v>3</v>
      </c>
      <c r="F212" t="s">
        <v>559</v>
      </c>
      <c r="G212" t="s">
        <v>119</v>
      </c>
      <c r="H212" t="s">
        <v>793</v>
      </c>
      <c r="I212" t="s">
        <v>795</v>
      </c>
    </row>
    <row r="213" spans="1:9">
      <c r="A213" t="str">
        <f>"0214001 "</f>
        <v xml:space="preserve">0214001 </v>
      </c>
      <c r="B213" t="s">
        <v>115</v>
      </c>
      <c r="C213" t="s">
        <v>796</v>
      </c>
      <c r="D213" t="s">
        <v>797</v>
      </c>
      <c r="E213">
        <v>2</v>
      </c>
      <c r="F213" t="s">
        <v>798</v>
      </c>
      <c r="G213" t="s">
        <v>119</v>
      </c>
      <c r="H213" t="s">
        <v>796</v>
      </c>
      <c r="I213" t="s">
        <v>799</v>
      </c>
    </row>
    <row r="214" spans="1:9">
      <c r="A214" t="str">
        <f>"0214005 "</f>
        <v xml:space="preserve">0214005 </v>
      </c>
      <c r="B214" t="s">
        <v>115</v>
      </c>
      <c r="C214" t="s">
        <v>800</v>
      </c>
      <c r="D214" t="s">
        <v>801</v>
      </c>
      <c r="E214">
        <v>3</v>
      </c>
      <c r="F214" t="s">
        <v>586</v>
      </c>
      <c r="G214" t="s">
        <v>119</v>
      </c>
      <c r="H214" t="s">
        <v>800</v>
      </c>
      <c r="I214" t="s">
        <v>802</v>
      </c>
    </row>
    <row r="215" spans="1:9">
      <c r="A215" t="str">
        <f>"0214006 "</f>
        <v xml:space="preserve">0214006 </v>
      </c>
      <c r="B215" t="s">
        <v>115</v>
      </c>
      <c r="C215" t="s">
        <v>803</v>
      </c>
      <c r="D215" t="s">
        <v>804</v>
      </c>
      <c r="E215">
        <v>2</v>
      </c>
      <c r="F215" t="s">
        <v>567</v>
      </c>
      <c r="G215" t="s">
        <v>119</v>
      </c>
      <c r="H215" t="s">
        <v>803</v>
      </c>
      <c r="I215" t="s">
        <v>805</v>
      </c>
    </row>
    <row r="216" spans="1:9">
      <c r="A216" t="str">
        <f>"0214010 "</f>
        <v xml:space="preserve">0214010 </v>
      </c>
      <c r="B216" t="s">
        <v>115</v>
      </c>
      <c r="C216" t="s">
        <v>806</v>
      </c>
      <c r="D216" t="s">
        <v>807</v>
      </c>
      <c r="E216">
        <v>2</v>
      </c>
      <c r="F216" t="s">
        <v>217</v>
      </c>
      <c r="G216" t="s">
        <v>119</v>
      </c>
      <c r="H216" t="s">
        <v>806</v>
      </c>
      <c r="I216" t="s">
        <v>808</v>
      </c>
    </row>
    <row r="217" spans="1:9">
      <c r="A217" t="str">
        <f>"0214012 "</f>
        <v xml:space="preserve">0214012 </v>
      </c>
      <c r="B217" t="s">
        <v>115</v>
      </c>
      <c r="C217" t="s">
        <v>809</v>
      </c>
      <c r="D217" t="s">
        <v>810</v>
      </c>
      <c r="E217">
        <v>2</v>
      </c>
      <c r="F217" t="s">
        <v>811</v>
      </c>
      <c r="G217" t="s">
        <v>119</v>
      </c>
      <c r="H217" t="s">
        <v>809</v>
      </c>
      <c r="I217" t="s">
        <v>812</v>
      </c>
    </row>
    <row r="218" spans="1:9">
      <c r="A218" t="str">
        <f>"0214013 "</f>
        <v xml:space="preserve">0214013 </v>
      </c>
      <c r="B218" t="s">
        <v>115</v>
      </c>
      <c r="C218" t="s">
        <v>813</v>
      </c>
      <c r="D218" t="s">
        <v>814</v>
      </c>
      <c r="E218">
        <v>2</v>
      </c>
      <c r="F218" t="s">
        <v>815</v>
      </c>
      <c r="G218" t="s">
        <v>119</v>
      </c>
      <c r="H218" t="s">
        <v>813</v>
      </c>
      <c r="I218" t="s">
        <v>816</v>
      </c>
    </row>
    <row r="219" spans="1:9">
      <c r="A219" t="str">
        <f>"0214026 "</f>
        <v xml:space="preserve">0214026 </v>
      </c>
      <c r="B219" t="s">
        <v>115</v>
      </c>
      <c r="C219" t="s">
        <v>817</v>
      </c>
      <c r="D219" t="s">
        <v>818</v>
      </c>
      <c r="E219">
        <v>2</v>
      </c>
      <c r="F219" t="s">
        <v>260</v>
      </c>
      <c r="G219" t="s">
        <v>119</v>
      </c>
      <c r="H219" t="s">
        <v>817</v>
      </c>
      <c r="I219" t="s">
        <v>819</v>
      </c>
    </row>
    <row r="220" spans="1:9">
      <c r="A220" t="str">
        <f>"0215292 "</f>
        <v xml:space="preserve">0215292 </v>
      </c>
      <c r="B220" t="s">
        <v>115</v>
      </c>
      <c r="C220" t="s">
        <v>820</v>
      </c>
      <c r="D220" t="s">
        <v>821</v>
      </c>
      <c r="E220">
        <v>1</v>
      </c>
      <c r="F220" t="s">
        <v>822</v>
      </c>
      <c r="G220" t="s">
        <v>119</v>
      </c>
      <c r="H220" t="s">
        <v>820</v>
      </c>
      <c r="I220" t="s">
        <v>823</v>
      </c>
    </row>
    <row r="221" spans="1:9">
      <c r="A221" t="str">
        <f>"0215293 "</f>
        <v xml:space="preserve">0215293 </v>
      </c>
      <c r="B221" t="s">
        <v>115</v>
      </c>
      <c r="C221" t="s">
        <v>824</v>
      </c>
      <c r="D221" t="s">
        <v>825</v>
      </c>
      <c r="E221">
        <v>1</v>
      </c>
      <c r="F221" t="s">
        <v>822</v>
      </c>
      <c r="G221" t="s">
        <v>119</v>
      </c>
      <c r="H221" t="s">
        <v>824</v>
      </c>
      <c r="I221" t="s">
        <v>826</v>
      </c>
    </row>
    <row r="222" spans="1:9">
      <c r="A222" t="str">
        <f>"0215296 "</f>
        <v xml:space="preserve">0215296 </v>
      </c>
      <c r="B222" t="s">
        <v>115</v>
      </c>
      <c r="C222" t="s">
        <v>827</v>
      </c>
      <c r="D222" t="s">
        <v>828</v>
      </c>
      <c r="E222">
        <v>1</v>
      </c>
      <c r="F222" t="s">
        <v>334</v>
      </c>
      <c r="G222" t="s">
        <v>119</v>
      </c>
      <c r="H222" t="s">
        <v>827</v>
      </c>
      <c r="I222" t="s">
        <v>829</v>
      </c>
    </row>
    <row r="223" spans="1:9">
      <c r="A223" t="str">
        <f>"0215298 "</f>
        <v xml:space="preserve">0215298 </v>
      </c>
      <c r="B223" t="s">
        <v>115</v>
      </c>
      <c r="C223" t="s">
        <v>830</v>
      </c>
      <c r="D223" t="s">
        <v>831</v>
      </c>
      <c r="E223">
        <v>4</v>
      </c>
      <c r="F223" t="s">
        <v>436</v>
      </c>
      <c r="G223" t="s">
        <v>119</v>
      </c>
      <c r="H223" t="s">
        <v>830</v>
      </c>
      <c r="I223" t="s">
        <v>832</v>
      </c>
    </row>
    <row r="224" spans="1:9">
      <c r="A224" t="str">
        <f>"0215300 "</f>
        <v xml:space="preserve">0215300 </v>
      </c>
      <c r="B224" t="s">
        <v>115</v>
      </c>
      <c r="C224" t="s">
        <v>833</v>
      </c>
      <c r="D224" t="s">
        <v>834</v>
      </c>
      <c r="E224">
        <v>2</v>
      </c>
      <c r="F224" t="s">
        <v>712</v>
      </c>
      <c r="G224" t="s">
        <v>119</v>
      </c>
      <c r="H224" t="s">
        <v>833</v>
      </c>
      <c r="I224" t="s">
        <v>835</v>
      </c>
    </row>
    <row r="225" spans="1:9">
      <c r="A225" t="str">
        <f>"0215308 "</f>
        <v xml:space="preserve">0215308 </v>
      </c>
      <c r="B225" t="s">
        <v>115</v>
      </c>
      <c r="C225" t="s">
        <v>836</v>
      </c>
      <c r="D225" t="s">
        <v>837</v>
      </c>
      <c r="E225">
        <v>1</v>
      </c>
      <c r="F225" t="s">
        <v>838</v>
      </c>
      <c r="G225" t="s">
        <v>119</v>
      </c>
      <c r="H225" t="s">
        <v>836</v>
      </c>
      <c r="I225" t="s">
        <v>839</v>
      </c>
    </row>
    <row r="226" spans="1:9">
      <c r="A226" t="str">
        <f>"0215310 "</f>
        <v xml:space="preserve">0215310 </v>
      </c>
      <c r="B226" t="s">
        <v>115</v>
      </c>
      <c r="C226" t="s">
        <v>840</v>
      </c>
      <c r="D226" t="s">
        <v>841</v>
      </c>
      <c r="E226">
        <v>2</v>
      </c>
      <c r="F226" t="s">
        <v>842</v>
      </c>
      <c r="G226" t="s">
        <v>119</v>
      </c>
      <c r="H226" t="s">
        <v>840</v>
      </c>
      <c r="I226" t="s">
        <v>843</v>
      </c>
    </row>
    <row r="227" spans="1:9">
      <c r="A227" t="str">
        <f>"0215311 "</f>
        <v xml:space="preserve">0215311 </v>
      </c>
      <c r="B227" t="s">
        <v>115</v>
      </c>
      <c r="C227" t="s">
        <v>844</v>
      </c>
      <c r="D227" t="s">
        <v>845</v>
      </c>
      <c r="E227" t="s">
        <v>20</v>
      </c>
      <c r="F227" t="s">
        <v>280</v>
      </c>
      <c r="G227" t="s">
        <v>119</v>
      </c>
      <c r="H227" t="s">
        <v>844</v>
      </c>
      <c r="I227" t="s">
        <v>846</v>
      </c>
    </row>
    <row r="228" spans="1:9">
      <c r="A228" t="str">
        <f>"0215316 "</f>
        <v xml:space="preserve">0215316 </v>
      </c>
      <c r="B228" t="s">
        <v>115</v>
      </c>
      <c r="C228" t="s">
        <v>847</v>
      </c>
      <c r="D228" t="s">
        <v>848</v>
      </c>
      <c r="E228">
        <v>2</v>
      </c>
      <c r="F228" t="s">
        <v>849</v>
      </c>
      <c r="G228" t="s">
        <v>119</v>
      </c>
      <c r="H228" t="s">
        <v>847</v>
      </c>
      <c r="I228" t="s">
        <v>850</v>
      </c>
    </row>
    <row r="229" spans="1:9">
      <c r="A229" t="str">
        <f>"0215317 "</f>
        <v xml:space="preserve">0215317 </v>
      </c>
      <c r="B229" t="s">
        <v>115</v>
      </c>
      <c r="C229" t="s">
        <v>851</v>
      </c>
      <c r="D229" t="s">
        <v>852</v>
      </c>
      <c r="E229">
        <v>3</v>
      </c>
      <c r="F229" t="s">
        <v>853</v>
      </c>
      <c r="G229" t="s">
        <v>119</v>
      </c>
      <c r="H229" t="s">
        <v>851</v>
      </c>
      <c r="I229" t="s">
        <v>854</v>
      </c>
    </row>
    <row r="230" spans="1:9">
      <c r="A230" t="str">
        <f>"0215321 "</f>
        <v xml:space="preserve">0215321 </v>
      </c>
      <c r="B230" t="s">
        <v>115</v>
      </c>
      <c r="C230" t="s">
        <v>855</v>
      </c>
      <c r="D230" t="s">
        <v>856</v>
      </c>
      <c r="E230">
        <v>1</v>
      </c>
      <c r="F230" t="s">
        <v>857</v>
      </c>
      <c r="G230" t="s">
        <v>119</v>
      </c>
      <c r="H230" t="s">
        <v>855</v>
      </c>
      <c r="I230" t="s">
        <v>858</v>
      </c>
    </row>
    <row r="231" spans="1:9">
      <c r="A231" t="str">
        <f>"0215323 "</f>
        <v xml:space="preserve">0215323 </v>
      </c>
      <c r="B231" t="s">
        <v>115</v>
      </c>
      <c r="C231" t="s">
        <v>859</v>
      </c>
      <c r="D231" t="s">
        <v>860</v>
      </c>
      <c r="E231">
        <v>2</v>
      </c>
      <c r="F231" t="s">
        <v>405</v>
      </c>
      <c r="G231" t="s">
        <v>119</v>
      </c>
      <c r="H231" t="s">
        <v>859</v>
      </c>
      <c r="I231" t="s">
        <v>861</v>
      </c>
    </row>
    <row r="232" spans="1:9">
      <c r="A232" t="str">
        <f>"0215325 "</f>
        <v xml:space="preserve">0215325 </v>
      </c>
      <c r="B232" t="s">
        <v>115</v>
      </c>
      <c r="C232" t="s">
        <v>862</v>
      </c>
      <c r="D232" t="s">
        <v>863</v>
      </c>
      <c r="E232">
        <v>2</v>
      </c>
      <c r="F232" t="s">
        <v>397</v>
      </c>
      <c r="G232" t="s">
        <v>119</v>
      </c>
      <c r="H232" t="s">
        <v>862</v>
      </c>
      <c r="I232" t="s">
        <v>864</v>
      </c>
    </row>
    <row r="233" spans="1:9">
      <c r="A233" t="str">
        <f>"0215327 "</f>
        <v xml:space="preserve">0215327 </v>
      </c>
      <c r="B233" t="s">
        <v>115</v>
      </c>
      <c r="C233" t="s">
        <v>865</v>
      </c>
      <c r="D233" t="s">
        <v>866</v>
      </c>
      <c r="E233">
        <v>1</v>
      </c>
      <c r="F233" t="s">
        <v>867</v>
      </c>
      <c r="G233" t="s">
        <v>119</v>
      </c>
      <c r="H233" t="s">
        <v>865</v>
      </c>
      <c r="I233" t="s">
        <v>868</v>
      </c>
    </row>
    <row r="234" spans="1:9">
      <c r="A234" t="str">
        <f>"0215329 "</f>
        <v xml:space="preserve">0215329 </v>
      </c>
      <c r="B234" t="s">
        <v>115</v>
      </c>
      <c r="C234" t="s">
        <v>869</v>
      </c>
      <c r="D234" t="s">
        <v>870</v>
      </c>
      <c r="E234">
        <v>3</v>
      </c>
      <c r="F234" t="s">
        <v>871</v>
      </c>
      <c r="G234" t="s">
        <v>119</v>
      </c>
      <c r="H234" t="s">
        <v>869</v>
      </c>
      <c r="I234" t="s">
        <v>872</v>
      </c>
    </row>
    <row r="235" spans="1:9">
      <c r="A235" t="str">
        <f>"0215332 "</f>
        <v xml:space="preserve">0215332 </v>
      </c>
      <c r="B235" t="s">
        <v>115</v>
      </c>
      <c r="C235" t="s">
        <v>873</v>
      </c>
      <c r="D235" t="s">
        <v>874</v>
      </c>
      <c r="E235">
        <v>2</v>
      </c>
      <c r="F235" t="s">
        <v>875</v>
      </c>
      <c r="G235" t="s">
        <v>119</v>
      </c>
      <c r="H235" t="s">
        <v>873</v>
      </c>
      <c r="I235" t="s">
        <v>876</v>
      </c>
    </row>
    <row r="236" spans="1:9">
      <c r="A236" t="str">
        <f>"0215340 "</f>
        <v xml:space="preserve">0215340 </v>
      </c>
      <c r="B236" t="s">
        <v>115</v>
      </c>
      <c r="C236" t="s">
        <v>877</v>
      </c>
      <c r="D236" t="s">
        <v>878</v>
      </c>
      <c r="E236">
        <v>1</v>
      </c>
      <c r="F236" t="s">
        <v>358</v>
      </c>
      <c r="G236" t="s">
        <v>119</v>
      </c>
      <c r="H236" t="s">
        <v>877</v>
      </c>
      <c r="I236" t="s">
        <v>879</v>
      </c>
    </row>
    <row r="237" spans="1:9">
      <c r="A237" t="str">
        <f>"0215346 "</f>
        <v xml:space="preserve">0215346 </v>
      </c>
      <c r="B237" t="s">
        <v>115</v>
      </c>
      <c r="C237" t="s">
        <v>880</v>
      </c>
      <c r="D237" t="s">
        <v>881</v>
      </c>
      <c r="E237">
        <v>1</v>
      </c>
      <c r="F237" t="s">
        <v>358</v>
      </c>
      <c r="G237" t="s">
        <v>119</v>
      </c>
      <c r="H237" t="s">
        <v>880</v>
      </c>
      <c r="I237" t="s">
        <v>882</v>
      </c>
    </row>
    <row r="238" spans="1:9">
      <c r="A238" t="str">
        <f>"0215354 "</f>
        <v xml:space="preserve">0215354 </v>
      </c>
      <c r="B238" t="s">
        <v>115</v>
      </c>
      <c r="C238" t="s">
        <v>883</v>
      </c>
      <c r="D238" t="s">
        <v>884</v>
      </c>
      <c r="E238">
        <v>1</v>
      </c>
      <c r="F238" t="s">
        <v>885</v>
      </c>
      <c r="G238" t="s">
        <v>119</v>
      </c>
      <c r="H238" t="s">
        <v>883</v>
      </c>
      <c r="I238" t="s">
        <v>886</v>
      </c>
    </row>
    <row r="239" spans="1:9">
      <c r="A239" t="str">
        <f>"0215355 "</f>
        <v xml:space="preserve">0215355 </v>
      </c>
      <c r="B239" t="s">
        <v>115</v>
      </c>
      <c r="C239" t="s">
        <v>887</v>
      </c>
      <c r="D239" t="s">
        <v>888</v>
      </c>
      <c r="E239">
        <v>3</v>
      </c>
      <c r="F239" t="s">
        <v>307</v>
      </c>
      <c r="G239" t="s">
        <v>119</v>
      </c>
      <c r="H239" t="s">
        <v>887</v>
      </c>
      <c r="I239" t="s">
        <v>889</v>
      </c>
    </row>
    <row r="240" spans="1:9">
      <c r="A240" t="str">
        <f>"0215362 "</f>
        <v xml:space="preserve">0215362 </v>
      </c>
      <c r="B240" t="s">
        <v>115</v>
      </c>
      <c r="C240" t="s">
        <v>890</v>
      </c>
      <c r="D240" t="s">
        <v>891</v>
      </c>
      <c r="E240">
        <v>1</v>
      </c>
      <c r="F240" t="s">
        <v>892</v>
      </c>
      <c r="G240" t="s">
        <v>119</v>
      </c>
      <c r="H240" t="s">
        <v>890</v>
      </c>
      <c r="I240" t="s">
        <v>893</v>
      </c>
    </row>
    <row r="241" spans="1:9">
      <c r="A241" t="str">
        <f>"0215363 "</f>
        <v xml:space="preserve">0215363 </v>
      </c>
      <c r="B241" t="s">
        <v>115</v>
      </c>
      <c r="C241" t="s">
        <v>894</v>
      </c>
      <c r="D241" t="s">
        <v>895</v>
      </c>
      <c r="E241">
        <v>2</v>
      </c>
      <c r="F241" t="s">
        <v>896</v>
      </c>
      <c r="G241" t="s">
        <v>119</v>
      </c>
      <c r="H241" t="s">
        <v>894</v>
      </c>
      <c r="I241" t="s">
        <v>897</v>
      </c>
    </row>
    <row r="242" spans="1:9">
      <c r="A242" t="str">
        <f>"0215364 "</f>
        <v xml:space="preserve">0215364 </v>
      </c>
      <c r="B242" t="s">
        <v>115</v>
      </c>
      <c r="C242" t="s">
        <v>898</v>
      </c>
      <c r="D242" t="s">
        <v>899</v>
      </c>
      <c r="E242">
        <v>2</v>
      </c>
      <c r="F242" t="s">
        <v>900</v>
      </c>
      <c r="G242" t="s">
        <v>119</v>
      </c>
      <c r="H242" t="s">
        <v>898</v>
      </c>
      <c r="I242" t="s">
        <v>901</v>
      </c>
    </row>
    <row r="243" spans="1:9">
      <c r="A243" t="str">
        <f>"0215365 "</f>
        <v xml:space="preserve">0215365 </v>
      </c>
      <c r="B243" t="s">
        <v>115</v>
      </c>
      <c r="C243" t="s">
        <v>902</v>
      </c>
      <c r="D243" t="s">
        <v>903</v>
      </c>
      <c r="E243">
        <v>2</v>
      </c>
      <c r="F243" t="s">
        <v>904</v>
      </c>
      <c r="G243" t="s">
        <v>119</v>
      </c>
      <c r="H243" t="s">
        <v>902</v>
      </c>
      <c r="I243" t="s">
        <v>905</v>
      </c>
    </row>
    <row r="244" spans="1:9">
      <c r="A244" t="str">
        <f>"0215369 "</f>
        <v xml:space="preserve">0215369 </v>
      </c>
      <c r="B244" t="s">
        <v>115</v>
      </c>
      <c r="C244" t="s">
        <v>906</v>
      </c>
      <c r="D244" t="s">
        <v>907</v>
      </c>
      <c r="E244">
        <v>2</v>
      </c>
      <c r="F244" t="s">
        <v>127</v>
      </c>
      <c r="G244" t="s">
        <v>119</v>
      </c>
      <c r="H244" t="s">
        <v>906</v>
      </c>
      <c r="I244" t="s">
        <v>908</v>
      </c>
    </row>
    <row r="245" spans="1:9">
      <c r="A245" t="str">
        <f>"0215370 "</f>
        <v xml:space="preserve">0215370 </v>
      </c>
      <c r="B245" t="s">
        <v>115</v>
      </c>
      <c r="C245" t="s">
        <v>909</v>
      </c>
      <c r="D245" t="s">
        <v>910</v>
      </c>
      <c r="E245" t="s">
        <v>20</v>
      </c>
      <c r="F245" t="s">
        <v>911</v>
      </c>
      <c r="G245" t="s">
        <v>119</v>
      </c>
      <c r="H245" t="s">
        <v>909</v>
      </c>
      <c r="I245" t="s">
        <v>912</v>
      </c>
    </row>
    <row r="246" spans="1:9">
      <c r="A246" t="str">
        <f>"0215373 "</f>
        <v xml:space="preserve">0215373 </v>
      </c>
      <c r="B246" t="s">
        <v>115</v>
      </c>
      <c r="C246" t="s">
        <v>913</v>
      </c>
      <c r="D246" t="s">
        <v>914</v>
      </c>
      <c r="E246">
        <v>1</v>
      </c>
      <c r="F246" t="s">
        <v>915</v>
      </c>
      <c r="G246" t="s">
        <v>119</v>
      </c>
      <c r="H246" t="s">
        <v>913</v>
      </c>
      <c r="I246" t="s">
        <v>916</v>
      </c>
    </row>
    <row r="247" spans="1:9">
      <c r="A247" t="str">
        <f>"0215378 "</f>
        <v xml:space="preserve">0215378 </v>
      </c>
      <c r="B247" t="s">
        <v>115</v>
      </c>
      <c r="C247" t="s">
        <v>917</v>
      </c>
      <c r="D247" t="s">
        <v>918</v>
      </c>
      <c r="E247">
        <v>1</v>
      </c>
      <c r="F247" t="s">
        <v>919</v>
      </c>
      <c r="G247" t="s">
        <v>119</v>
      </c>
      <c r="H247" t="s">
        <v>917</v>
      </c>
      <c r="I247" t="s">
        <v>920</v>
      </c>
    </row>
    <row r="248" spans="1:9">
      <c r="A248" t="str">
        <f>"0215379 "</f>
        <v xml:space="preserve">0215379 </v>
      </c>
      <c r="B248" t="s">
        <v>115</v>
      </c>
      <c r="C248" t="s">
        <v>921</v>
      </c>
      <c r="D248" t="s">
        <v>922</v>
      </c>
      <c r="E248">
        <v>1</v>
      </c>
      <c r="F248" t="s">
        <v>923</v>
      </c>
      <c r="G248" t="s">
        <v>119</v>
      </c>
      <c r="H248" t="s">
        <v>921</v>
      </c>
      <c r="I248" t="s">
        <v>924</v>
      </c>
    </row>
    <row r="249" spans="1:9">
      <c r="A249" t="str">
        <f>"0215380 "</f>
        <v xml:space="preserve">0215380 </v>
      </c>
      <c r="B249" t="s">
        <v>115</v>
      </c>
      <c r="C249" t="s">
        <v>925</v>
      </c>
      <c r="D249" t="s">
        <v>926</v>
      </c>
      <c r="E249">
        <v>2</v>
      </c>
      <c r="F249" t="s">
        <v>470</v>
      </c>
      <c r="G249" t="s">
        <v>119</v>
      </c>
      <c r="H249" t="s">
        <v>925</v>
      </c>
      <c r="I249" t="s">
        <v>927</v>
      </c>
    </row>
    <row r="250" spans="1:9">
      <c r="A250" t="str">
        <f>"0215381 "</f>
        <v xml:space="preserve">0215381 </v>
      </c>
      <c r="B250" t="s">
        <v>115</v>
      </c>
      <c r="C250" t="s">
        <v>928</v>
      </c>
      <c r="D250" t="s">
        <v>929</v>
      </c>
      <c r="E250">
        <v>1</v>
      </c>
      <c r="F250" t="s">
        <v>930</v>
      </c>
      <c r="G250" t="s">
        <v>119</v>
      </c>
      <c r="H250" t="s">
        <v>928</v>
      </c>
      <c r="I250" t="s">
        <v>931</v>
      </c>
    </row>
    <row r="251" spans="1:9">
      <c r="A251" t="str">
        <f>"0215383 "</f>
        <v xml:space="preserve">0215383 </v>
      </c>
      <c r="B251" t="s">
        <v>115</v>
      </c>
      <c r="C251" t="s">
        <v>932</v>
      </c>
      <c r="D251" t="s">
        <v>933</v>
      </c>
      <c r="E251">
        <v>3</v>
      </c>
      <c r="F251" t="s">
        <v>911</v>
      </c>
      <c r="G251" t="s">
        <v>119</v>
      </c>
      <c r="H251" t="s">
        <v>932</v>
      </c>
      <c r="I251" t="s">
        <v>934</v>
      </c>
    </row>
    <row r="252" spans="1:9">
      <c r="A252" t="str">
        <f>"0215384 "</f>
        <v xml:space="preserve">0215384 </v>
      </c>
      <c r="B252" t="s">
        <v>115</v>
      </c>
      <c r="C252" t="s">
        <v>935</v>
      </c>
      <c r="D252" t="s">
        <v>936</v>
      </c>
      <c r="E252">
        <v>2</v>
      </c>
      <c r="F252" t="s">
        <v>937</v>
      </c>
      <c r="G252" t="s">
        <v>119</v>
      </c>
      <c r="H252" t="s">
        <v>935</v>
      </c>
      <c r="I252" t="s">
        <v>938</v>
      </c>
    </row>
    <row r="253" spans="1:9">
      <c r="A253" t="str">
        <f>"0215385 "</f>
        <v xml:space="preserve">0215385 </v>
      </c>
      <c r="B253" t="s">
        <v>115</v>
      </c>
      <c r="C253" t="s">
        <v>939</v>
      </c>
      <c r="D253" t="s">
        <v>940</v>
      </c>
      <c r="E253">
        <v>2</v>
      </c>
      <c r="F253" t="s">
        <v>904</v>
      </c>
      <c r="G253" t="s">
        <v>119</v>
      </c>
      <c r="H253" t="s">
        <v>939</v>
      </c>
      <c r="I253" t="s">
        <v>941</v>
      </c>
    </row>
    <row r="254" spans="1:9">
      <c r="A254" t="str">
        <f>"0215387 "</f>
        <v xml:space="preserve">0215387 </v>
      </c>
      <c r="B254" t="s">
        <v>115</v>
      </c>
      <c r="C254" t="s">
        <v>942</v>
      </c>
      <c r="D254" t="s">
        <v>943</v>
      </c>
      <c r="E254" t="s">
        <v>20</v>
      </c>
      <c r="F254" t="s">
        <v>944</v>
      </c>
      <c r="G254" t="s">
        <v>119</v>
      </c>
      <c r="H254" t="s">
        <v>942</v>
      </c>
      <c r="I254" t="s">
        <v>945</v>
      </c>
    </row>
    <row r="255" spans="1:9">
      <c r="A255" t="str">
        <f>"0215388 "</f>
        <v xml:space="preserve">0215388 </v>
      </c>
      <c r="B255" t="s">
        <v>115</v>
      </c>
      <c r="C255" t="s">
        <v>946</v>
      </c>
      <c r="D255" t="s">
        <v>947</v>
      </c>
      <c r="E255">
        <v>1</v>
      </c>
      <c r="F255" t="s">
        <v>190</v>
      </c>
      <c r="G255" t="s">
        <v>119</v>
      </c>
      <c r="H255" t="s">
        <v>946</v>
      </c>
      <c r="I255" t="s">
        <v>948</v>
      </c>
    </row>
    <row r="256" spans="1:9">
      <c r="A256" t="str">
        <f>"0215394 "</f>
        <v xml:space="preserve">0215394 </v>
      </c>
      <c r="B256" t="s">
        <v>115</v>
      </c>
      <c r="C256" t="s">
        <v>949</v>
      </c>
      <c r="D256" t="s">
        <v>950</v>
      </c>
      <c r="E256">
        <v>2</v>
      </c>
      <c r="F256" t="s">
        <v>951</v>
      </c>
      <c r="G256" t="s">
        <v>119</v>
      </c>
      <c r="H256" t="s">
        <v>949</v>
      </c>
      <c r="I256" t="s">
        <v>952</v>
      </c>
    </row>
    <row r="257" spans="1:9">
      <c r="A257" t="str">
        <f>"0215397 "</f>
        <v xml:space="preserve">0215397 </v>
      </c>
      <c r="B257" t="s">
        <v>115</v>
      </c>
      <c r="C257" t="s">
        <v>953</v>
      </c>
      <c r="D257" t="s">
        <v>954</v>
      </c>
      <c r="E257">
        <v>2</v>
      </c>
      <c r="F257" t="s">
        <v>955</v>
      </c>
      <c r="G257" t="s">
        <v>119</v>
      </c>
      <c r="H257" t="s">
        <v>953</v>
      </c>
      <c r="I257" t="s">
        <v>956</v>
      </c>
    </row>
    <row r="258" spans="1:9">
      <c r="A258" t="str">
        <f>"0215409 "</f>
        <v xml:space="preserve">0215409 </v>
      </c>
      <c r="B258" t="s">
        <v>115</v>
      </c>
      <c r="C258" t="s">
        <v>957</v>
      </c>
      <c r="D258" t="s">
        <v>958</v>
      </c>
      <c r="E258">
        <v>3</v>
      </c>
      <c r="F258" t="s">
        <v>959</v>
      </c>
      <c r="G258" t="s">
        <v>119</v>
      </c>
      <c r="H258" t="s">
        <v>957</v>
      </c>
      <c r="I258" t="s">
        <v>960</v>
      </c>
    </row>
    <row r="259" spans="1:9">
      <c r="A259" t="str">
        <f>"0215412 "</f>
        <v xml:space="preserve">0215412 </v>
      </c>
      <c r="B259" t="s">
        <v>115</v>
      </c>
      <c r="C259" t="s">
        <v>961</v>
      </c>
      <c r="D259" t="s">
        <v>962</v>
      </c>
      <c r="E259">
        <v>2</v>
      </c>
      <c r="F259" t="s">
        <v>963</v>
      </c>
      <c r="G259" t="s">
        <v>119</v>
      </c>
      <c r="H259" t="s">
        <v>961</v>
      </c>
      <c r="I259" t="s">
        <v>964</v>
      </c>
    </row>
    <row r="260" spans="1:9">
      <c r="A260" t="str">
        <f>"0215413 "</f>
        <v xml:space="preserve">0215413 </v>
      </c>
      <c r="B260" t="s">
        <v>115</v>
      </c>
      <c r="C260" t="s">
        <v>965</v>
      </c>
      <c r="D260" t="s">
        <v>966</v>
      </c>
      <c r="E260">
        <v>1</v>
      </c>
      <c r="F260" t="s">
        <v>967</v>
      </c>
      <c r="G260" t="s">
        <v>119</v>
      </c>
      <c r="H260" t="s">
        <v>965</v>
      </c>
      <c r="I260" t="s">
        <v>968</v>
      </c>
    </row>
    <row r="261" spans="1:9">
      <c r="A261" t="str">
        <f>"0215418 "</f>
        <v xml:space="preserve">0215418 </v>
      </c>
      <c r="B261" t="s">
        <v>115</v>
      </c>
      <c r="C261" t="s">
        <v>969</v>
      </c>
      <c r="D261" t="s">
        <v>970</v>
      </c>
      <c r="E261">
        <v>1</v>
      </c>
      <c r="F261" t="s">
        <v>971</v>
      </c>
      <c r="G261" t="s">
        <v>119</v>
      </c>
      <c r="H261" t="s">
        <v>969</v>
      </c>
      <c r="I261" t="s">
        <v>972</v>
      </c>
    </row>
    <row r="262" spans="1:9">
      <c r="A262" t="str">
        <f>"0215419 "</f>
        <v xml:space="preserve">0215419 </v>
      </c>
      <c r="B262" t="s">
        <v>115</v>
      </c>
      <c r="C262" t="s">
        <v>973</v>
      </c>
      <c r="D262" t="s">
        <v>974</v>
      </c>
      <c r="E262">
        <v>1</v>
      </c>
      <c r="F262" t="s">
        <v>975</v>
      </c>
      <c r="G262" t="s">
        <v>119</v>
      </c>
      <c r="H262" t="s">
        <v>973</v>
      </c>
      <c r="I262" t="s">
        <v>976</v>
      </c>
    </row>
    <row r="263" spans="1:9">
      <c r="A263" t="str">
        <f>"0215420 "</f>
        <v xml:space="preserve">0215420 </v>
      </c>
      <c r="B263" t="s">
        <v>115</v>
      </c>
      <c r="C263" t="s">
        <v>977</v>
      </c>
      <c r="D263" t="s">
        <v>978</v>
      </c>
      <c r="E263">
        <v>1</v>
      </c>
      <c r="F263" t="s">
        <v>979</v>
      </c>
      <c r="G263" t="s">
        <v>119</v>
      </c>
      <c r="H263" t="s">
        <v>977</v>
      </c>
      <c r="I263" t="s">
        <v>980</v>
      </c>
    </row>
    <row r="264" spans="1:9">
      <c r="A264" t="str">
        <f>"0215422 "</f>
        <v xml:space="preserve">0215422 </v>
      </c>
      <c r="B264" t="s">
        <v>115</v>
      </c>
      <c r="C264" t="s">
        <v>981</v>
      </c>
      <c r="D264" t="s">
        <v>982</v>
      </c>
      <c r="E264">
        <v>1</v>
      </c>
      <c r="F264" t="s">
        <v>983</v>
      </c>
      <c r="G264" t="s">
        <v>119</v>
      </c>
      <c r="H264" t="s">
        <v>981</v>
      </c>
      <c r="I264" t="s">
        <v>984</v>
      </c>
    </row>
    <row r="265" spans="1:9">
      <c r="A265" t="str">
        <f>"0215424 "</f>
        <v xml:space="preserve">0215424 </v>
      </c>
      <c r="B265" t="s">
        <v>115</v>
      </c>
      <c r="C265" t="s">
        <v>985</v>
      </c>
      <c r="D265" t="s">
        <v>986</v>
      </c>
      <c r="E265">
        <v>2</v>
      </c>
      <c r="F265" t="s">
        <v>987</v>
      </c>
      <c r="G265" t="s">
        <v>119</v>
      </c>
      <c r="H265" t="s">
        <v>985</v>
      </c>
      <c r="I265" t="s">
        <v>988</v>
      </c>
    </row>
    <row r="266" spans="1:9">
      <c r="A266" t="str">
        <f>"0215426 "</f>
        <v xml:space="preserve">0215426 </v>
      </c>
      <c r="B266" t="s">
        <v>115</v>
      </c>
      <c r="C266" t="s">
        <v>989</v>
      </c>
      <c r="D266" t="s">
        <v>990</v>
      </c>
      <c r="E266">
        <v>1</v>
      </c>
      <c r="F266" t="s">
        <v>991</v>
      </c>
      <c r="G266" t="s">
        <v>119</v>
      </c>
      <c r="H266" t="s">
        <v>989</v>
      </c>
      <c r="I266" t="s">
        <v>992</v>
      </c>
    </row>
    <row r="267" spans="1:9">
      <c r="A267" t="str">
        <f>"0215428 "</f>
        <v xml:space="preserve">0215428 </v>
      </c>
      <c r="B267" t="s">
        <v>115</v>
      </c>
      <c r="C267" t="s">
        <v>993</v>
      </c>
      <c r="D267" t="s">
        <v>994</v>
      </c>
      <c r="E267">
        <v>2</v>
      </c>
      <c r="F267" t="s">
        <v>995</v>
      </c>
      <c r="G267" t="s">
        <v>119</v>
      </c>
      <c r="H267" t="s">
        <v>993</v>
      </c>
      <c r="I267" t="s">
        <v>996</v>
      </c>
    </row>
    <row r="268" spans="1:9">
      <c r="A268" t="str">
        <f>"0215433 "</f>
        <v xml:space="preserve">0215433 </v>
      </c>
      <c r="B268" t="s">
        <v>115</v>
      </c>
      <c r="C268" t="s">
        <v>997</v>
      </c>
      <c r="D268" t="s">
        <v>998</v>
      </c>
      <c r="E268">
        <v>2</v>
      </c>
      <c r="F268" t="s">
        <v>999</v>
      </c>
      <c r="G268" t="s">
        <v>119</v>
      </c>
      <c r="H268" t="s">
        <v>997</v>
      </c>
      <c r="I268" t="s">
        <v>1000</v>
      </c>
    </row>
    <row r="269" spans="1:9">
      <c r="A269" t="str">
        <f>"0215444 "</f>
        <v xml:space="preserve">0215444 </v>
      </c>
      <c r="B269" t="s">
        <v>115</v>
      </c>
      <c r="C269" t="s">
        <v>1001</v>
      </c>
      <c r="D269" t="s">
        <v>1002</v>
      </c>
      <c r="E269">
        <v>4</v>
      </c>
      <c r="F269" t="s">
        <v>1003</v>
      </c>
      <c r="G269" t="s">
        <v>119</v>
      </c>
      <c r="H269" t="s">
        <v>1001</v>
      </c>
      <c r="I269" t="s">
        <v>1004</v>
      </c>
    </row>
    <row r="270" spans="1:9">
      <c r="A270" t="str">
        <f>"0215449 "</f>
        <v xml:space="preserve">0215449 </v>
      </c>
      <c r="B270" t="s">
        <v>115</v>
      </c>
      <c r="C270" t="s">
        <v>1005</v>
      </c>
      <c r="D270" t="s">
        <v>1006</v>
      </c>
      <c r="E270" t="s">
        <v>20</v>
      </c>
      <c r="F270" t="s">
        <v>1007</v>
      </c>
      <c r="G270" t="s">
        <v>119</v>
      </c>
      <c r="H270" t="s">
        <v>1005</v>
      </c>
      <c r="I270" t="s">
        <v>1008</v>
      </c>
    </row>
    <row r="271" spans="1:9">
      <c r="A271" t="str">
        <f>"0215454 "</f>
        <v xml:space="preserve">0215454 </v>
      </c>
      <c r="B271" t="s">
        <v>115</v>
      </c>
      <c r="C271" t="s">
        <v>1009</v>
      </c>
      <c r="D271" t="s">
        <v>1010</v>
      </c>
      <c r="E271" t="s">
        <v>20</v>
      </c>
      <c r="F271" t="s">
        <v>1011</v>
      </c>
      <c r="G271" t="s">
        <v>119</v>
      </c>
      <c r="H271" t="s">
        <v>1009</v>
      </c>
      <c r="I271" t="s">
        <v>1012</v>
      </c>
    </row>
    <row r="272" spans="1:9">
      <c r="A272" t="str">
        <f>"0215455 "</f>
        <v xml:space="preserve">0215455 </v>
      </c>
      <c r="B272" t="s">
        <v>115</v>
      </c>
      <c r="C272" t="s">
        <v>1013</v>
      </c>
      <c r="D272" t="s">
        <v>1014</v>
      </c>
      <c r="E272">
        <v>2</v>
      </c>
      <c r="F272" t="s">
        <v>450</v>
      </c>
      <c r="G272" t="s">
        <v>119</v>
      </c>
      <c r="H272" t="s">
        <v>1013</v>
      </c>
      <c r="I272" t="s">
        <v>1015</v>
      </c>
    </row>
    <row r="273" spans="1:9">
      <c r="A273" t="str">
        <f>"0215466 "</f>
        <v xml:space="preserve">0215466 </v>
      </c>
      <c r="B273" t="s">
        <v>115</v>
      </c>
      <c r="C273" t="s">
        <v>1016</v>
      </c>
      <c r="D273" t="s">
        <v>1017</v>
      </c>
      <c r="E273">
        <v>3</v>
      </c>
      <c r="F273" t="s">
        <v>1018</v>
      </c>
      <c r="G273" t="s">
        <v>119</v>
      </c>
      <c r="H273" t="s">
        <v>1016</v>
      </c>
      <c r="I273" t="s">
        <v>1019</v>
      </c>
    </row>
    <row r="274" spans="1:9">
      <c r="A274" t="str">
        <f>"0215468 "</f>
        <v xml:space="preserve">0215468 </v>
      </c>
      <c r="B274" t="s">
        <v>115</v>
      </c>
      <c r="C274" t="s">
        <v>1020</v>
      </c>
      <c r="D274" t="s">
        <v>1021</v>
      </c>
      <c r="E274">
        <v>2</v>
      </c>
      <c r="F274" t="s">
        <v>1022</v>
      </c>
      <c r="G274" t="s">
        <v>119</v>
      </c>
      <c r="H274" t="s">
        <v>1020</v>
      </c>
      <c r="I274" t="s">
        <v>1023</v>
      </c>
    </row>
    <row r="275" spans="1:9">
      <c r="A275" t="str">
        <f>"0215474 "</f>
        <v xml:space="preserve">0215474 </v>
      </c>
      <c r="B275" t="s">
        <v>115</v>
      </c>
      <c r="C275" t="s">
        <v>1024</v>
      </c>
      <c r="D275" t="s">
        <v>1025</v>
      </c>
      <c r="E275">
        <v>1</v>
      </c>
      <c r="F275" t="s">
        <v>545</v>
      </c>
      <c r="G275" t="s">
        <v>119</v>
      </c>
      <c r="H275" t="s">
        <v>1024</v>
      </c>
      <c r="I275" t="s">
        <v>1026</v>
      </c>
    </row>
    <row r="276" spans="1:9">
      <c r="A276" t="str">
        <f>"0215486 "</f>
        <v xml:space="preserve">0215486 </v>
      </c>
      <c r="B276" t="s">
        <v>115</v>
      </c>
      <c r="C276" t="s">
        <v>1027</v>
      </c>
      <c r="D276" t="s">
        <v>1028</v>
      </c>
      <c r="E276">
        <v>1</v>
      </c>
      <c r="F276" t="s">
        <v>1029</v>
      </c>
      <c r="G276" t="s">
        <v>119</v>
      </c>
      <c r="H276" t="s">
        <v>1027</v>
      </c>
      <c r="I276" t="s">
        <v>1030</v>
      </c>
    </row>
    <row r="277" spans="1:9">
      <c r="A277" t="str">
        <f>"0215489 "</f>
        <v xml:space="preserve">0215489 </v>
      </c>
      <c r="B277" t="s">
        <v>115</v>
      </c>
      <c r="C277" t="s">
        <v>1031</v>
      </c>
      <c r="D277" t="s">
        <v>1032</v>
      </c>
      <c r="E277">
        <v>2</v>
      </c>
      <c r="F277" t="s">
        <v>1033</v>
      </c>
      <c r="G277" t="s">
        <v>119</v>
      </c>
      <c r="H277" t="s">
        <v>1031</v>
      </c>
      <c r="I277" t="s">
        <v>1034</v>
      </c>
    </row>
    <row r="278" spans="1:9">
      <c r="A278" t="str">
        <f>"0215507 "</f>
        <v xml:space="preserve">0215507 </v>
      </c>
      <c r="B278" t="s">
        <v>115</v>
      </c>
      <c r="C278" t="s">
        <v>1035</v>
      </c>
      <c r="D278" t="s">
        <v>1036</v>
      </c>
      <c r="E278">
        <v>1</v>
      </c>
      <c r="F278" t="s">
        <v>1037</v>
      </c>
      <c r="G278" t="s">
        <v>119</v>
      </c>
      <c r="H278" t="s">
        <v>1035</v>
      </c>
      <c r="I278" t="s">
        <v>1038</v>
      </c>
    </row>
    <row r="279" spans="1:9">
      <c r="A279" t="str">
        <f>"0215508 "</f>
        <v xml:space="preserve">0215508 </v>
      </c>
      <c r="B279" t="s">
        <v>115</v>
      </c>
      <c r="C279" t="s">
        <v>1039</v>
      </c>
      <c r="D279" t="s">
        <v>1040</v>
      </c>
      <c r="E279">
        <v>5</v>
      </c>
      <c r="F279" t="s">
        <v>1041</v>
      </c>
      <c r="G279" t="s">
        <v>119</v>
      </c>
      <c r="H279" t="s">
        <v>1039</v>
      </c>
      <c r="I279" t="s">
        <v>1042</v>
      </c>
    </row>
    <row r="280" spans="1:9">
      <c r="A280" t="str">
        <f>"0215517 "</f>
        <v xml:space="preserve">0215517 </v>
      </c>
      <c r="B280" t="s">
        <v>115</v>
      </c>
      <c r="C280" t="s">
        <v>1043</v>
      </c>
      <c r="D280" t="s">
        <v>1044</v>
      </c>
      <c r="E280">
        <v>1</v>
      </c>
      <c r="F280" t="s">
        <v>1045</v>
      </c>
      <c r="G280" t="s">
        <v>119</v>
      </c>
      <c r="H280" t="s">
        <v>1043</v>
      </c>
      <c r="I280" t="s">
        <v>1046</v>
      </c>
    </row>
    <row r="281" spans="1:9">
      <c r="A281" t="str">
        <f>"0215519 "</f>
        <v xml:space="preserve">0215519 </v>
      </c>
      <c r="B281" t="s">
        <v>115</v>
      </c>
      <c r="C281" t="s">
        <v>1047</v>
      </c>
      <c r="D281" t="s">
        <v>1048</v>
      </c>
      <c r="E281">
        <v>1</v>
      </c>
      <c r="F281" t="s">
        <v>1049</v>
      </c>
      <c r="G281" t="s">
        <v>119</v>
      </c>
      <c r="H281" t="s">
        <v>1047</v>
      </c>
      <c r="I281" t="s">
        <v>1050</v>
      </c>
    </row>
    <row r="282" spans="1:9">
      <c r="A282" t="str">
        <f>"0215485 "</f>
        <v xml:space="preserve">0215485 </v>
      </c>
      <c r="B282" t="s">
        <v>115</v>
      </c>
      <c r="C282" t="s">
        <v>1051</v>
      </c>
      <c r="D282" t="s">
        <v>1052</v>
      </c>
      <c r="E282">
        <v>2</v>
      </c>
      <c r="F282" t="s">
        <v>1053</v>
      </c>
      <c r="G282" t="s">
        <v>119</v>
      </c>
      <c r="H282" t="s">
        <v>1051</v>
      </c>
      <c r="I282" t="s">
        <v>1054</v>
      </c>
    </row>
    <row r="283" spans="1:9">
      <c r="A283" t="str">
        <f>"0215488 "</f>
        <v xml:space="preserve">0215488 </v>
      </c>
      <c r="B283" t="s">
        <v>115</v>
      </c>
      <c r="C283" t="s">
        <v>1055</v>
      </c>
      <c r="D283" t="s">
        <v>1056</v>
      </c>
      <c r="E283">
        <v>2</v>
      </c>
      <c r="F283" t="s">
        <v>1057</v>
      </c>
      <c r="G283" t="s">
        <v>119</v>
      </c>
      <c r="H283" t="s">
        <v>1055</v>
      </c>
      <c r="I283" t="s">
        <v>1058</v>
      </c>
    </row>
    <row r="284" spans="1:9">
      <c r="A284" t="str">
        <f>"0215188 "</f>
        <v xml:space="preserve">0215188 </v>
      </c>
      <c r="B284" t="s">
        <v>115</v>
      </c>
      <c r="C284" t="s">
        <v>1059</v>
      </c>
      <c r="D284" t="s">
        <v>1060</v>
      </c>
      <c r="E284">
        <v>1</v>
      </c>
      <c r="F284" t="s">
        <v>1061</v>
      </c>
      <c r="G284" t="s">
        <v>119</v>
      </c>
      <c r="H284" t="s">
        <v>1059</v>
      </c>
      <c r="I284" t="s">
        <v>1062</v>
      </c>
    </row>
    <row r="285" spans="1:9">
      <c r="A285" t="str">
        <f>"0215189 "</f>
        <v xml:space="preserve">0215189 </v>
      </c>
      <c r="B285" t="s">
        <v>115</v>
      </c>
      <c r="C285" t="s">
        <v>1063</v>
      </c>
      <c r="D285" t="s">
        <v>1064</v>
      </c>
      <c r="E285" t="s">
        <v>20</v>
      </c>
      <c r="F285" t="s">
        <v>1065</v>
      </c>
      <c r="G285" t="s">
        <v>119</v>
      </c>
      <c r="H285" t="s">
        <v>1063</v>
      </c>
      <c r="I285" t="s">
        <v>1066</v>
      </c>
    </row>
    <row r="286" spans="1:9">
      <c r="A286" t="str">
        <f>"0216119 "</f>
        <v xml:space="preserve">0216119 </v>
      </c>
      <c r="B286" t="s">
        <v>115</v>
      </c>
      <c r="C286" t="s">
        <v>1067</v>
      </c>
      <c r="D286" t="s">
        <v>1068</v>
      </c>
      <c r="E286">
        <v>2</v>
      </c>
      <c r="F286" t="s">
        <v>500</v>
      </c>
      <c r="G286" t="s">
        <v>119</v>
      </c>
      <c r="H286" t="s">
        <v>1067</v>
      </c>
      <c r="I286" t="s">
        <v>1069</v>
      </c>
    </row>
    <row r="287" spans="1:9">
      <c r="A287" t="str">
        <f>"0215206 "</f>
        <v xml:space="preserve">0215206 </v>
      </c>
      <c r="B287" t="s">
        <v>115</v>
      </c>
      <c r="C287" t="s">
        <v>1070</v>
      </c>
      <c r="D287" t="s">
        <v>1071</v>
      </c>
      <c r="E287" t="s">
        <v>20</v>
      </c>
      <c r="F287" t="s">
        <v>425</v>
      </c>
      <c r="G287" t="s">
        <v>119</v>
      </c>
      <c r="H287" t="s">
        <v>1070</v>
      </c>
      <c r="I287" t="s">
        <v>1072</v>
      </c>
    </row>
    <row r="288" spans="1:9">
      <c r="A288" t="str">
        <f>"0215194 "</f>
        <v xml:space="preserve">0215194 </v>
      </c>
      <c r="B288" t="s">
        <v>115</v>
      </c>
      <c r="C288" t="s">
        <v>1073</v>
      </c>
      <c r="D288" t="s">
        <v>1074</v>
      </c>
      <c r="E288">
        <v>2</v>
      </c>
      <c r="F288" t="s">
        <v>342</v>
      </c>
      <c r="G288" t="s">
        <v>119</v>
      </c>
      <c r="H288" t="s">
        <v>1073</v>
      </c>
      <c r="I288" t="s">
        <v>1075</v>
      </c>
    </row>
    <row r="289" spans="1:9">
      <c r="A289" t="str">
        <f>"0215212 "</f>
        <v xml:space="preserve">0215212 </v>
      </c>
      <c r="B289" t="s">
        <v>115</v>
      </c>
      <c r="C289" t="s">
        <v>1076</v>
      </c>
      <c r="D289" t="s">
        <v>1077</v>
      </c>
      <c r="E289">
        <v>3</v>
      </c>
      <c r="F289" t="s">
        <v>1078</v>
      </c>
      <c r="G289" t="s">
        <v>119</v>
      </c>
      <c r="H289" t="s">
        <v>1076</v>
      </c>
      <c r="I289" t="s">
        <v>1079</v>
      </c>
    </row>
    <row r="290" spans="1:9">
      <c r="A290" t="str">
        <f>"0215192 "</f>
        <v xml:space="preserve">0215192 </v>
      </c>
      <c r="B290" t="s">
        <v>115</v>
      </c>
      <c r="C290" t="s">
        <v>1080</v>
      </c>
      <c r="D290" t="s">
        <v>1081</v>
      </c>
      <c r="E290">
        <v>4</v>
      </c>
      <c r="F290" t="s">
        <v>1082</v>
      </c>
      <c r="G290" t="s">
        <v>119</v>
      </c>
      <c r="H290" t="s">
        <v>1080</v>
      </c>
      <c r="I290" t="s">
        <v>1083</v>
      </c>
    </row>
    <row r="291" spans="1:9">
      <c r="A291" t="str">
        <f>"0215214 "</f>
        <v xml:space="preserve">0215214 </v>
      </c>
      <c r="B291" t="s">
        <v>115</v>
      </c>
      <c r="C291" t="s">
        <v>1084</v>
      </c>
      <c r="D291" t="s">
        <v>1085</v>
      </c>
      <c r="E291">
        <v>4</v>
      </c>
      <c r="F291" t="s">
        <v>1086</v>
      </c>
      <c r="G291" t="s">
        <v>119</v>
      </c>
      <c r="H291" t="s">
        <v>1084</v>
      </c>
      <c r="I291" t="s">
        <v>1087</v>
      </c>
    </row>
    <row r="292" spans="1:9">
      <c r="A292" t="str">
        <f>"0215266 "</f>
        <v xml:space="preserve">0215266 </v>
      </c>
      <c r="B292" t="s">
        <v>115</v>
      </c>
      <c r="C292" t="s">
        <v>1088</v>
      </c>
      <c r="D292" t="s">
        <v>1089</v>
      </c>
      <c r="E292">
        <v>4</v>
      </c>
      <c r="F292" t="s">
        <v>1090</v>
      </c>
      <c r="G292" t="s">
        <v>119</v>
      </c>
      <c r="H292" t="s">
        <v>1088</v>
      </c>
      <c r="I292" t="s">
        <v>1091</v>
      </c>
    </row>
    <row r="293" spans="1:9">
      <c r="A293" t="str">
        <f>"0215235 "</f>
        <v xml:space="preserve">0215235 </v>
      </c>
      <c r="B293" t="s">
        <v>115</v>
      </c>
      <c r="C293" t="s">
        <v>1092</v>
      </c>
      <c r="D293" t="s">
        <v>1093</v>
      </c>
      <c r="E293">
        <v>2</v>
      </c>
      <c r="F293" t="s">
        <v>1094</v>
      </c>
      <c r="G293" t="s">
        <v>119</v>
      </c>
      <c r="H293" t="s">
        <v>1092</v>
      </c>
      <c r="I293" t="s">
        <v>1095</v>
      </c>
    </row>
    <row r="294" spans="1:9">
      <c r="A294" t="str">
        <f>"0216126 "</f>
        <v xml:space="preserve">0216126 </v>
      </c>
      <c r="B294" t="s">
        <v>115</v>
      </c>
      <c r="C294" t="s">
        <v>1096</v>
      </c>
      <c r="D294" t="s">
        <v>1097</v>
      </c>
      <c r="E294">
        <v>1</v>
      </c>
      <c r="F294" t="s">
        <v>1098</v>
      </c>
      <c r="G294" t="s">
        <v>119</v>
      </c>
      <c r="H294" t="s">
        <v>1096</v>
      </c>
      <c r="I294" t="s">
        <v>1099</v>
      </c>
    </row>
    <row r="295" spans="1:9">
      <c r="A295" t="str">
        <f>"0215236 "</f>
        <v xml:space="preserve">0215236 </v>
      </c>
      <c r="B295" t="s">
        <v>115</v>
      </c>
      <c r="C295" t="s">
        <v>1100</v>
      </c>
      <c r="D295" t="s">
        <v>1101</v>
      </c>
      <c r="E295">
        <v>3</v>
      </c>
      <c r="F295" t="s">
        <v>1102</v>
      </c>
      <c r="G295" t="s">
        <v>119</v>
      </c>
      <c r="H295" t="s">
        <v>1100</v>
      </c>
      <c r="I295" t="s">
        <v>1103</v>
      </c>
    </row>
    <row r="296" spans="1:9">
      <c r="A296" t="str">
        <f>"0215215 "</f>
        <v xml:space="preserve">0215215 </v>
      </c>
      <c r="B296" t="s">
        <v>115</v>
      </c>
      <c r="C296" t="s">
        <v>1104</v>
      </c>
      <c r="D296" t="s">
        <v>1105</v>
      </c>
      <c r="E296">
        <v>3</v>
      </c>
      <c r="F296" t="s">
        <v>1102</v>
      </c>
      <c r="G296" t="s">
        <v>119</v>
      </c>
      <c r="H296" t="s">
        <v>1104</v>
      </c>
      <c r="I296" t="s">
        <v>1106</v>
      </c>
    </row>
    <row r="297" spans="1:9">
      <c r="A297" t="str">
        <f>"0215268 "</f>
        <v xml:space="preserve">0215268 </v>
      </c>
      <c r="B297" t="s">
        <v>115</v>
      </c>
      <c r="C297" t="s">
        <v>1107</v>
      </c>
      <c r="D297" t="s">
        <v>1108</v>
      </c>
      <c r="E297" t="s">
        <v>20</v>
      </c>
      <c r="F297" t="s">
        <v>1078</v>
      </c>
      <c r="G297" t="s">
        <v>119</v>
      </c>
      <c r="H297" t="s">
        <v>1107</v>
      </c>
      <c r="I297" t="s">
        <v>1109</v>
      </c>
    </row>
    <row r="298" spans="1:9">
      <c r="A298" t="str">
        <f>"0215216 "</f>
        <v xml:space="preserve">0215216 </v>
      </c>
      <c r="B298" t="s">
        <v>115</v>
      </c>
      <c r="C298" t="s">
        <v>1110</v>
      </c>
      <c r="D298" t="s">
        <v>1111</v>
      </c>
      <c r="E298">
        <v>3</v>
      </c>
      <c r="F298" t="s">
        <v>1102</v>
      </c>
      <c r="G298" t="s">
        <v>119</v>
      </c>
      <c r="H298" t="s">
        <v>1110</v>
      </c>
      <c r="I298" t="s">
        <v>1112</v>
      </c>
    </row>
    <row r="299" spans="1:9">
      <c r="A299" t="str">
        <f>"0215270 "</f>
        <v xml:space="preserve">0215270 </v>
      </c>
      <c r="B299" t="s">
        <v>115</v>
      </c>
      <c r="C299" t="s">
        <v>1113</v>
      </c>
      <c r="D299" t="s">
        <v>1114</v>
      </c>
      <c r="E299">
        <v>2</v>
      </c>
      <c r="F299" t="s">
        <v>209</v>
      </c>
      <c r="G299" t="s">
        <v>119</v>
      </c>
      <c r="H299" t="s">
        <v>1113</v>
      </c>
      <c r="I299" t="s">
        <v>1115</v>
      </c>
    </row>
    <row r="300" spans="1:9">
      <c r="A300" t="str">
        <f>"0215196 "</f>
        <v xml:space="preserve">0215196 </v>
      </c>
      <c r="B300" t="s">
        <v>115</v>
      </c>
      <c r="C300" t="s">
        <v>1116</v>
      </c>
      <c r="D300" t="s">
        <v>1117</v>
      </c>
      <c r="E300">
        <v>5</v>
      </c>
      <c r="F300" t="s">
        <v>1082</v>
      </c>
      <c r="G300" t="s">
        <v>119</v>
      </c>
      <c r="H300" t="s">
        <v>1116</v>
      </c>
      <c r="I300" t="s">
        <v>1118</v>
      </c>
    </row>
    <row r="301" spans="1:9">
      <c r="A301" t="str">
        <f>"0215272 "</f>
        <v xml:space="preserve">0215272 </v>
      </c>
      <c r="B301" t="s">
        <v>115</v>
      </c>
      <c r="C301" t="s">
        <v>1119</v>
      </c>
      <c r="D301" t="s">
        <v>1120</v>
      </c>
      <c r="E301" t="s">
        <v>20</v>
      </c>
      <c r="F301" t="s">
        <v>1121</v>
      </c>
      <c r="G301" t="s">
        <v>119</v>
      </c>
      <c r="H301" t="s">
        <v>1119</v>
      </c>
      <c r="I301" t="s">
        <v>1122</v>
      </c>
    </row>
    <row r="302" spans="1:9">
      <c r="A302" t="str">
        <f>"0216141 "</f>
        <v xml:space="preserve">0216141 </v>
      </c>
      <c r="B302" t="s">
        <v>115</v>
      </c>
      <c r="C302" t="s">
        <v>1123</v>
      </c>
      <c r="D302" t="s">
        <v>1124</v>
      </c>
      <c r="E302">
        <v>1</v>
      </c>
      <c r="F302" t="s">
        <v>1125</v>
      </c>
      <c r="G302" t="s">
        <v>119</v>
      </c>
      <c r="H302" t="s">
        <v>1123</v>
      </c>
      <c r="I302" t="s">
        <v>1126</v>
      </c>
    </row>
    <row r="303" spans="1:9">
      <c r="A303" t="str">
        <f>"0215276 "</f>
        <v xml:space="preserve">0215276 </v>
      </c>
      <c r="B303" t="s">
        <v>115</v>
      </c>
      <c r="C303" t="s">
        <v>1127</v>
      </c>
      <c r="D303" t="s">
        <v>1128</v>
      </c>
      <c r="E303">
        <v>3</v>
      </c>
      <c r="F303" t="s">
        <v>1129</v>
      </c>
      <c r="G303" t="s">
        <v>119</v>
      </c>
      <c r="H303" t="s">
        <v>1127</v>
      </c>
      <c r="I303" t="s">
        <v>1130</v>
      </c>
    </row>
    <row r="304" spans="1:9">
      <c r="A304" t="str">
        <f>"0215197 "</f>
        <v xml:space="preserve">0215197 </v>
      </c>
      <c r="B304" t="s">
        <v>115</v>
      </c>
      <c r="C304" t="s">
        <v>1131</v>
      </c>
      <c r="D304" t="s">
        <v>1132</v>
      </c>
      <c r="E304">
        <v>2</v>
      </c>
      <c r="F304" t="s">
        <v>436</v>
      </c>
      <c r="G304" t="s">
        <v>119</v>
      </c>
      <c r="H304" t="s">
        <v>1131</v>
      </c>
      <c r="I304" t="s">
        <v>1133</v>
      </c>
    </row>
    <row r="305" spans="1:9">
      <c r="A305" t="str">
        <f>"0215198 "</f>
        <v xml:space="preserve">0215198 </v>
      </c>
      <c r="B305" t="s">
        <v>115</v>
      </c>
      <c r="C305" t="s">
        <v>1134</v>
      </c>
      <c r="D305" t="s">
        <v>1135</v>
      </c>
      <c r="E305" t="s">
        <v>20</v>
      </c>
      <c r="F305" t="s">
        <v>1136</v>
      </c>
      <c r="G305" t="s">
        <v>119</v>
      </c>
      <c r="H305" t="s">
        <v>1134</v>
      </c>
      <c r="I305" t="s">
        <v>1137</v>
      </c>
    </row>
    <row r="306" spans="1:9">
      <c r="A306" t="str">
        <f>"0215238 "</f>
        <v xml:space="preserve">0215238 </v>
      </c>
      <c r="B306" t="s">
        <v>115</v>
      </c>
      <c r="C306" t="s">
        <v>1138</v>
      </c>
      <c r="D306" t="s">
        <v>1139</v>
      </c>
      <c r="E306">
        <v>1</v>
      </c>
      <c r="F306" t="s">
        <v>1102</v>
      </c>
      <c r="G306" t="s">
        <v>119</v>
      </c>
      <c r="H306" t="s">
        <v>1138</v>
      </c>
      <c r="I306" t="s">
        <v>1140</v>
      </c>
    </row>
    <row r="307" spans="1:9">
      <c r="A307" t="str">
        <f>"0215240 "</f>
        <v xml:space="preserve">0215240 </v>
      </c>
      <c r="B307" t="s">
        <v>115</v>
      </c>
      <c r="C307" t="s">
        <v>1141</v>
      </c>
      <c r="D307" t="s">
        <v>1142</v>
      </c>
      <c r="E307">
        <v>2</v>
      </c>
      <c r="F307" t="s">
        <v>1143</v>
      </c>
      <c r="G307" t="s">
        <v>119</v>
      </c>
      <c r="H307" t="s">
        <v>1141</v>
      </c>
      <c r="I307" t="s">
        <v>1144</v>
      </c>
    </row>
    <row r="308" spans="1:9">
      <c r="A308" t="str">
        <f>"0215241 "</f>
        <v xml:space="preserve">0215241 </v>
      </c>
      <c r="B308" t="s">
        <v>115</v>
      </c>
      <c r="C308" t="s">
        <v>1145</v>
      </c>
      <c r="D308" t="s">
        <v>1146</v>
      </c>
      <c r="E308" t="s">
        <v>20</v>
      </c>
      <c r="F308" t="s">
        <v>1147</v>
      </c>
      <c r="G308" t="s">
        <v>119</v>
      </c>
      <c r="H308" t="s">
        <v>1145</v>
      </c>
      <c r="I308" t="s">
        <v>1148</v>
      </c>
    </row>
    <row r="309" spans="1:9">
      <c r="A309" t="str">
        <f>"0215242 "</f>
        <v xml:space="preserve">0215242 </v>
      </c>
      <c r="B309" t="s">
        <v>115</v>
      </c>
      <c r="C309" t="s">
        <v>1149</v>
      </c>
      <c r="D309" t="s">
        <v>1150</v>
      </c>
      <c r="E309">
        <v>2</v>
      </c>
      <c r="F309" t="s">
        <v>1082</v>
      </c>
      <c r="G309" t="s">
        <v>119</v>
      </c>
      <c r="H309" t="s">
        <v>1149</v>
      </c>
      <c r="I309" t="s">
        <v>1151</v>
      </c>
    </row>
    <row r="310" spans="1:9">
      <c r="A310" t="str">
        <f>"0215243 "</f>
        <v xml:space="preserve">0215243 </v>
      </c>
      <c r="B310" t="s">
        <v>115</v>
      </c>
      <c r="C310" t="s">
        <v>1152</v>
      </c>
      <c r="D310" t="s">
        <v>1153</v>
      </c>
      <c r="E310">
        <v>4</v>
      </c>
      <c r="F310" t="s">
        <v>1154</v>
      </c>
      <c r="G310" t="s">
        <v>119</v>
      </c>
      <c r="H310" t="s">
        <v>1152</v>
      </c>
      <c r="I310" t="s">
        <v>1155</v>
      </c>
    </row>
    <row r="311" spans="1:9">
      <c r="A311" t="str">
        <f>"0215247 "</f>
        <v xml:space="preserve">0215247 </v>
      </c>
      <c r="B311" t="s">
        <v>115</v>
      </c>
      <c r="C311" t="s">
        <v>1156</v>
      </c>
      <c r="D311" t="s">
        <v>1157</v>
      </c>
      <c r="E311" t="s">
        <v>20</v>
      </c>
      <c r="F311" t="s">
        <v>1158</v>
      </c>
      <c r="G311" t="s">
        <v>119</v>
      </c>
      <c r="H311" t="s">
        <v>1156</v>
      </c>
      <c r="I311" t="s">
        <v>1159</v>
      </c>
    </row>
    <row r="312" spans="1:9">
      <c r="A312" t="str">
        <f>"0215249 "</f>
        <v xml:space="preserve">0215249 </v>
      </c>
      <c r="B312" t="s">
        <v>115</v>
      </c>
      <c r="C312" t="s">
        <v>1160</v>
      </c>
      <c r="D312" t="s">
        <v>1161</v>
      </c>
      <c r="E312" t="s">
        <v>20</v>
      </c>
      <c r="F312" t="s">
        <v>1162</v>
      </c>
      <c r="G312" t="s">
        <v>119</v>
      </c>
      <c r="H312" t="s">
        <v>1160</v>
      </c>
      <c r="I312" t="s">
        <v>1163</v>
      </c>
    </row>
    <row r="313" spans="1:9">
      <c r="A313" t="str">
        <f>"0215250 "</f>
        <v xml:space="preserve">0215250 </v>
      </c>
      <c r="B313" t="s">
        <v>115</v>
      </c>
      <c r="C313" t="s">
        <v>1164</v>
      </c>
      <c r="D313" t="s">
        <v>1165</v>
      </c>
      <c r="E313">
        <v>2</v>
      </c>
      <c r="F313" t="s">
        <v>1166</v>
      </c>
      <c r="G313" t="s">
        <v>119</v>
      </c>
      <c r="H313" t="s">
        <v>1164</v>
      </c>
      <c r="I313" t="s">
        <v>1159</v>
      </c>
    </row>
    <row r="314" spans="1:9">
      <c r="A314" t="str">
        <f>"0215252 "</f>
        <v xml:space="preserve">0215252 </v>
      </c>
      <c r="B314" t="s">
        <v>115</v>
      </c>
      <c r="C314" t="s">
        <v>1167</v>
      </c>
      <c r="D314" t="s">
        <v>1168</v>
      </c>
      <c r="E314" t="s">
        <v>20</v>
      </c>
      <c r="F314" t="s">
        <v>1136</v>
      </c>
      <c r="G314" t="s">
        <v>119</v>
      </c>
      <c r="H314" t="s">
        <v>1167</v>
      </c>
      <c r="I314" t="s">
        <v>1169</v>
      </c>
    </row>
    <row r="315" spans="1:9">
      <c r="A315" t="str">
        <f>"0215254 "</f>
        <v xml:space="preserve">0215254 </v>
      </c>
      <c r="B315" t="s">
        <v>115</v>
      </c>
      <c r="C315" t="s">
        <v>1170</v>
      </c>
      <c r="D315" t="s">
        <v>1171</v>
      </c>
      <c r="E315">
        <v>4</v>
      </c>
      <c r="F315" t="s">
        <v>1172</v>
      </c>
      <c r="G315" t="s">
        <v>119</v>
      </c>
      <c r="H315" t="s">
        <v>1170</v>
      </c>
      <c r="I315" t="s">
        <v>1173</v>
      </c>
    </row>
    <row r="316" spans="1:9">
      <c r="A316" t="str">
        <f>"0215255 "</f>
        <v xml:space="preserve">0215255 </v>
      </c>
      <c r="B316" t="s">
        <v>115</v>
      </c>
      <c r="C316" t="s">
        <v>1174</v>
      </c>
      <c r="D316" t="s">
        <v>1175</v>
      </c>
      <c r="E316" t="s">
        <v>20</v>
      </c>
      <c r="F316" t="s">
        <v>1176</v>
      </c>
      <c r="G316" t="s">
        <v>119</v>
      </c>
      <c r="H316" t="s">
        <v>1174</v>
      </c>
      <c r="I316" t="s">
        <v>1177</v>
      </c>
    </row>
    <row r="317" spans="1:9">
      <c r="A317" t="str">
        <f>"0215277 "</f>
        <v xml:space="preserve">0215277 </v>
      </c>
      <c r="B317" t="s">
        <v>115</v>
      </c>
      <c r="C317" t="s">
        <v>1178</v>
      </c>
      <c r="D317" t="s">
        <v>1179</v>
      </c>
      <c r="E317">
        <v>1</v>
      </c>
      <c r="F317" t="s">
        <v>1180</v>
      </c>
      <c r="G317" t="s">
        <v>119</v>
      </c>
      <c r="H317" t="s">
        <v>1178</v>
      </c>
      <c r="I317" t="s">
        <v>1181</v>
      </c>
    </row>
    <row r="318" spans="1:9">
      <c r="A318" t="str">
        <f>"0215257 "</f>
        <v xml:space="preserve">0215257 </v>
      </c>
      <c r="B318" t="s">
        <v>115</v>
      </c>
      <c r="C318" t="s">
        <v>1182</v>
      </c>
      <c r="D318" t="s">
        <v>1183</v>
      </c>
      <c r="E318">
        <v>2</v>
      </c>
      <c r="F318" t="s">
        <v>342</v>
      </c>
      <c r="G318" t="s">
        <v>119</v>
      </c>
      <c r="H318" t="s">
        <v>1182</v>
      </c>
      <c r="I318" t="s">
        <v>1184</v>
      </c>
    </row>
    <row r="319" spans="1:9">
      <c r="A319" t="str">
        <f>"0215199 "</f>
        <v xml:space="preserve">0215199 </v>
      </c>
      <c r="B319" t="s">
        <v>115</v>
      </c>
      <c r="C319" t="s">
        <v>1185</v>
      </c>
      <c r="D319" t="s">
        <v>1186</v>
      </c>
      <c r="E319" t="s">
        <v>20</v>
      </c>
      <c r="F319" t="s">
        <v>1187</v>
      </c>
      <c r="G319" t="s">
        <v>119</v>
      </c>
      <c r="H319" t="s">
        <v>1185</v>
      </c>
      <c r="I319" t="s">
        <v>1188</v>
      </c>
    </row>
    <row r="320" spans="1:9">
      <c r="A320" t="str">
        <f>"0216143 "</f>
        <v xml:space="preserve">0216143 </v>
      </c>
      <c r="B320" t="s">
        <v>115</v>
      </c>
      <c r="C320" t="s">
        <v>1189</v>
      </c>
      <c r="D320" t="s">
        <v>1190</v>
      </c>
      <c r="E320" t="s">
        <v>20</v>
      </c>
      <c r="F320" t="s">
        <v>248</v>
      </c>
      <c r="G320" t="s">
        <v>119</v>
      </c>
      <c r="H320" t="s">
        <v>1189</v>
      </c>
      <c r="I320" t="s">
        <v>1191</v>
      </c>
    </row>
    <row r="321" spans="1:9">
      <c r="A321" t="str">
        <f>"0216144 "</f>
        <v xml:space="preserve">0216144 </v>
      </c>
      <c r="B321" t="s">
        <v>115</v>
      </c>
      <c r="C321" t="s">
        <v>1192</v>
      </c>
      <c r="D321" t="s">
        <v>1193</v>
      </c>
      <c r="E321" t="s">
        <v>20</v>
      </c>
      <c r="F321" t="s">
        <v>1194</v>
      </c>
      <c r="G321" t="s">
        <v>119</v>
      </c>
      <c r="H321" t="s">
        <v>1192</v>
      </c>
      <c r="I321" t="s">
        <v>1195</v>
      </c>
    </row>
    <row r="322" spans="1:9">
      <c r="A322" t="str">
        <f>"0216145 "</f>
        <v xml:space="preserve">0216145 </v>
      </c>
      <c r="B322" t="s">
        <v>115</v>
      </c>
      <c r="C322" t="s">
        <v>1196</v>
      </c>
      <c r="D322" t="s">
        <v>1197</v>
      </c>
      <c r="E322">
        <v>2</v>
      </c>
      <c r="F322" t="s">
        <v>944</v>
      </c>
      <c r="G322" t="s">
        <v>119</v>
      </c>
      <c r="H322" t="s">
        <v>1196</v>
      </c>
      <c r="I322" t="s">
        <v>1198</v>
      </c>
    </row>
    <row r="323" spans="1:9">
      <c r="A323" t="str">
        <f>"0216146 "</f>
        <v xml:space="preserve">0216146 </v>
      </c>
      <c r="B323" t="s">
        <v>115</v>
      </c>
      <c r="C323" t="s">
        <v>1199</v>
      </c>
      <c r="D323" t="s">
        <v>1200</v>
      </c>
      <c r="E323">
        <v>2</v>
      </c>
      <c r="F323" t="s">
        <v>1201</v>
      </c>
      <c r="G323" t="s">
        <v>119</v>
      </c>
      <c r="H323" t="s">
        <v>1199</v>
      </c>
      <c r="I323" t="s">
        <v>1202</v>
      </c>
    </row>
    <row r="324" spans="1:9">
      <c r="A324" t="str">
        <f>"0216148 "</f>
        <v xml:space="preserve">0216148 </v>
      </c>
      <c r="B324" t="s">
        <v>115</v>
      </c>
      <c r="C324" t="s">
        <v>1203</v>
      </c>
      <c r="D324" t="s">
        <v>1204</v>
      </c>
      <c r="E324" t="s">
        <v>20</v>
      </c>
      <c r="F324" t="s">
        <v>601</v>
      </c>
      <c r="G324" t="s">
        <v>119</v>
      </c>
      <c r="H324" t="s">
        <v>1203</v>
      </c>
      <c r="I324" t="s">
        <v>1205</v>
      </c>
    </row>
    <row r="325" spans="1:9">
      <c r="A325" t="str">
        <f>"0216149 "</f>
        <v xml:space="preserve">0216149 </v>
      </c>
      <c r="B325" t="s">
        <v>115</v>
      </c>
      <c r="C325" t="s">
        <v>1206</v>
      </c>
      <c r="D325" t="s">
        <v>1207</v>
      </c>
      <c r="E325">
        <v>2</v>
      </c>
      <c r="F325" t="s">
        <v>1208</v>
      </c>
      <c r="G325" t="s">
        <v>119</v>
      </c>
      <c r="H325" t="s">
        <v>1206</v>
      </c>
      <c r="I325" t="s">
        <v>1209</v>
      </c>
    </row>
    <row r="326" spans="1:9">
      <c r="A326" t="str">
        <f>"0216150 "</f>
        <v xml:space="preserve">0216150 </v>
      </c>
      <c r="B326" t="s">
        <v>115</v>
      </c>
      <c r="C326" t="s">
        <v>1210</v>
      </c>
      <c r="D326" t="s">
        <v>1211</v>
      </c>
      <c r="E326">
        <v>1</v>
      </c>
      <c r="F326" t="s">
        <v>1212</v>
      </c>
      <c r="G326" t="s">
        <v>119</v>
      </c>
      <c r="H326" t="s">
        <v>1210</v>
      </c>
      <c r="I326" t="s">
        <v>1213</v>
      </c>
    </row>
    <row r="327" spans="1:9">
      <c r="A327" t="str">
        <f>"0216152 "</f>
        <v xml:space="preserve">0216152 </v>
      </c>
      <c r="B327" t="s">
        <v>115</v>
      </c>
      <c r="C327" t="s">
        <v>1214</v>
      </c>
      <c r="D327" t="s">
        <v>1215</v>
      </c>
      <c r="E327">
        <v>5</v>
      </c>
      <c r="F327" t="s">
        <v>1216</v>
      </c>
      <c r="G327" t="s">
        <v>119</v>
      </c>
      <c r="H327" t="s">
        <v>1214</v>
      </c>
      <c r="I327" t="s">
        <v>1217</v>
      </c>
    </row>
    <row r="328" spans="1:9">
      <c r="A328" t="str">
        <f>"0216154 "</f>
        <v xml:space="preserve">0216154 </v>
      </c>
      <c r="B328" t="s">
        <v>115</v>
      </c>
      <c r="C328" t="s">
        <v>1218</v>
      </c>
      <c r="D328" t="s">
        <v>1219</v>
      </c>
      <c r="E328">
        <v>1</v>
      </c>
      <c r="F328" t="s">
        <v>1220</v>
      </c>
      <c r="G328" t="s">
        <v>119</v>
      </c>
      <c r="H328" t="s">
        <v>1218</v>
      </c>
      <c r="I328" t="s">
        <v>1221</v>
      </c>
    </row>
    <row r="329" spans="1:9">
      <c r="A329" t="str">
        <f>"0216156 "</f>
        <v xml:space="preserve">0216156 </v>
      </c>
      <c r="B329" t="s">
        <v>115</v>
      </c>
      <c r="C329" t="s">
        <v>1222</v>
      </c>
      <c r="D329" t="s">
        <v>1223</v>
      </c>
      <c r="E329">
        <v>2</v>
      </c>
      <c r="F329" t="s">
        <v>1224</v>
      </c>
      <c r="G329" t="s">
        <v>119</v>
      </c>
      <c r="H329" t="s">
        <v>1222</v>
      </c>
      <c r="I329" t="s">
        <v>1225</v>
      </c>
    </row>
    <row r="330" spans="1:9">
      <c r="A330" t="str">
        <f>"0216158 "</f>
        <v xml:space="preserve">0216158 </v>
      </c>
      <c r="B330" t="s">
        <v>115</v>
      </c>
      <c r="C330" t="s">
        <v>1226</v>
      </c>
      <c r="D330" t="s">
        <v>1227</v>
      </c>
      <c r="E330">
        <v>2</v>
      </c>
      <c r="F330" t="s">
        <v>1228</v>
      </c>
      <c r="G330" t="s">
        <v>119</v>
      </c>
      <c r="H330" t="s">
        <v>1226</v>
      </c>
      <c r="I330" t="s">
        <v>1229</v>
      </c>
    </row>
    <row r="331" spans="1:9">
      <c r="A331" t="str">
        <f>"0216159 "</f>
        <v xml:space="preserve">0216159 </v>
      </c>
      <c r="B331" t="s">
        <v>115</v>
      </c>
      <c r="C331" t="s">
        <v>1230</v>
      </c>
      <c r="D331" t="s">
        <v>1231</v>
      </c>
      <c r="E331">
        <v>2</v>
      </c>
      <c r="F331" t="s">
        <v>209</v>
      </c>
      <c r="G331" t="s">
        <v>119</v>
      </c>
      <c r="H331" t="s">
        <v>1230</v>
      </c>
      <c r="I331" t="s">
        <v>1232</v>
      </c>
    </row>
    <row r="332" spans="1:9">
      <c r="A332" t="str">
        <f>"0216162 "</f>
        <v xml:space="preserve">0216162 </v>
      </c>
      <c r="B332" t="s">
        <v>115</v>
      </c>
      <c r="C332" t="s">
        <v>1233</v>
      </c>
      <c r="D332" t="s">
        <v>1234</v>
      </c>
      <c r="E332">
        <v>2</v>
      </c>
      <c r="F332" t="s">
        <v>1224</v>
      </c>
      <c r="G332" t="s">
        <v>119</v>
      </c>
      <c r="H332" t="s">
        <v>1233</v>
      </c>
      <c r="I332" t="s">
        <v>1235</v>
      </c>
    </row>
    <row r="333" spans="1:9">
      <c r="A333" t="str">
        <f>"0216163 "</f>
        <v xml:space="preserve">0216163 </v>
      </c>
      <c r="B333" t="s">
        <v>115</v>
      </c>
      <c r="C333" t="s">
        <v>1236</v>
      </c>
      <c r="D333" t="s">
        <v>1237</v>
      </c>
      <c r="E333" t="s">
        <v>20</v>
      </c>
      <c r="F333" t="s">
        <v>1238</v>
      </c>
      <c r="G333" t="s">
        <v>119</v>
      </c>
      <c r="H333" t="s">
        <v>1236</v>
      </c>
      <c r="I333" t="s">
        <v>1239</v>
      </c>
    </row>
    <row r="334" spans="1:9">
      <c r="A334" t="str">
        <f>"0216164 "</f>
        <v xml:space="preserve">0216164 </v>
      </c>
      <c r="B334" t="s">
        <v>115</v>
      </c>
      <c r="C334" t="s">
        <v>1240</v>
      </c>
      <c r="D334" t="s">
        <v>1241</v>
      </c>
      <c r="E334" t="s">
        <v>20</v>
      </c>
      <c r="F334" t="s">
        <v>1242</v>
      </c>
      <c r="G334" t="s">
        <v>119</v>
      </c>
      <c r="H334" t="s">
        <v>1240</v>
      </c>
      <c r="I334" t="s">
        <v>1243</v>
      </c>
    </row>
    <row r="335" spans="1:9">
      <c r="A335" t="str">
        <f>"0216165 "</f>
        <v xml:space="preserve">0216165 </v>
      </c>
      <c r="B335" t="s">
        <v>115</v>
      </c>
      <c r="C335" t="s">
        <v>1244</v>
      </c>
      <c r="D335" t="s">
        <v>1245</v>
      </c>
      <c r="E335">
        <v>2</v>
      </c>
      <c r="F335" t="s">
        <v>264</v>
      </c>
      <c r="G335" t="s">
        <v>119</v>
      </c>
      <c r="H335" t="s">
        <v>1244</v>
      </c>
      <c r="I335" t="s">
        <v>1246</v>
      </c>
    </row>
    <row r="336" spans="1:9">
      <c r="A336" t="str">
        <f>"0216166 "</f>
        <v xml:space="preserve">0216166 </v>
      </c>
      <c r="B336" t="s">
        <v>115</v>
      </c>
      <c r="C336" t="s">
        <v>1247</v>
      </c>
      <c r="D336" t="s">
        <v>1248</v>
      </c>
      <c r="E336" t="s">
        <v>20</v>
      </c>
      <c r="F336" t="s">
        <v>194</v>
      </c>
      <c r="G336" t="s">
        <v>119</v>
      </c>
      <c r="H336" t="s">
        <v>1247</v>
      </c>
      <c r="I336" t="s">
        <v>1249</v>
      </c>
    </row>
    <row r="337" spans="1:9">
      <c r="A337" t="str">
        <f>"0216167 "</f>
        <v xml:space="preserve">0216167 </v>
      </c>
      <c r="B337" t="s">
        <v>115</v>
      </c>
      <c r="C337" t="s">
        <v>1250</v>
      </c>
      <c r="D337" t="s">
        <v>1251</v>
      </c>
      <c r="E337" t="s">
        <v>20</v>
      </c>
      <c r="F337" t="s">
        <v>1252</v>
      </c>
      <c r="G337" t="s">
        <v>119</v>
      </c>
      <c r="H337" t="s">
        <v>1250</v>
      </c>
      <c r="I337" t="s">
        <v>1253</v>
      </c>
    </row>
    <row r="338" spans="1:9">
      <c r="A338" t="str">
        <f>"0216168 "</f>
        <v xml:space="preserve">0216168 </v>
      </c>
      <c r="B338" t="s">
        <v>115</v>
      </c>
      <c r="C338" t="s">
        <v>1254</v>
      </c>
      <c r="D338" t="s">
        <v>1255</v>
      </c>
      <c r="E338">
        <v>2</v>
      </c>
      <c r="F338" t="s">
        <v>194</v>
      </c>
      <c r="G338" t="s">
        <v>119</v>
      </c>
      <c r="H338" t="s">
        <v>1254</v>
      </c>
      <c r="I338" t="s">
        <v>1256</v>
      </c>
    </row>
    <row r="339" spans="1:9">
      <c r="A339" t="str">
        <f>"0216169 "</f>
        <v xml:space="preserve">0216169 </v>
      </c>
      <c r="B339" t="s">
        <v>115</v>
      </c>
      <c r="C339" t="s">
        <v>1257</v>
      </c>
      <c r="D339" t="s">
        <v>1258</v>
      </c>
      <c r="E339" t="s">
        <v>20</v>
      </c>
      <c r="F339" t="s">
        <v>1259</v>
      </c>
      <c r="G339" t="s">
        <v>119</v>
      </c>
      <c r="H339" t="s">
        <v>1257</v>
      </c>
      <c r="I339" t="s">
        <v>1260</v>
      </c>
    </row>
    <row r="340" spans="1:9">
      <c r="A340" t="str">
        <f>"0216171 "</f>
        <v xml:space="preserve">0216171 </v>
      </c>
      <c r="B340" t="s">
        <v>115</v>
      </c>
      <c r="C340" t="s">
        <v>1261</v>
      </c>
      <c r="D340" t="s">
        <v>1262</v>
      </c>
      <c r="E340">
        <v>1</v>
      </c>
      <c r="F340" t="s">
        <v>1263</v>
      </c>
      <c r="G340" t="s">
        <v>119</v>
      </c>
      <c r="H340" t="s">
        <v>1261</v>
      </c>
      <c r="I340" t="s">
        <v>1264</v>
      </c>
    </row>
    <row r="341" spans="1:9">
      <c r="A341" t="str">
        <f>"0216173 "</f>
        <v xml:space="preserve">0216173 </v>
      </c>
      <c r="B341" t="s">
        <v>115</v>
      </c>
      <c r="C341" t="s">
        <v>1265</v>
      </c>
      <c r="D341" t="s">
        <v>1266</v>
      </c>
      <c r="E341">
        <v>2</v>
      </c>
      <c r="F341" t="s">
        <v>1267</v>
      </c>
      <c r="G341" t="s">
        <v>119</v>
      </c>
      <c r="H341" t="s">
        <v>1265</v>
      </c>
      <c r="I341" t="s">
        <v>1268</v>
      </c>
    </row>
    <row r="342" spans="1:9">
      <c r="A342" t="str">
        <f>"0216174 "</f>
        <v xml:space="preserve">0216174 </v>
      </c>
      <c r="B342" t="s">
        <v>115</v>
      </c>
      <c r="C342" t="s">
        <v>1269</v>
      </c>
      <c r="D342" t="s">
        <v>1270</v>
      </c>
      <c r="E342">
        <v>5</v>
      </c>
      <c r="F342" t="s">
        <v>1271</v>
      </c>
      <c r="G342" t="s">
        <v>119</v>
      </c>
      <c r="H342" t="s">
        <v>1269</v>
      </c>
      <c r="I342" t="s">
        <v>1272</v>
      </c>
    </row>
    <row r="343" spans="1:9">
      <c r="A343" t="str">
        <f>"0216175 "</f>
        <v xml:space="preserve">0216175 </v>
      </c>
      <c r="B343" t="s">
        <v>115</v>
      </c>
      <c r="C343" t="s">
        <v>1273</v>
      </c>
      <c r="D343" t="s">
        <v>1274</v>
      </c>
      <c r="E343">
        <v>2</v>
      </c>
      <c r="F343" t="s">
        <v>1194</v>
      </c>
      <c r="G343" t="s">
        <v>119</v>
      </c>
      <c r="H343" t="s">
        <v>1273</v>
      </c>
      <c r="I343" t="s">
        <v>1275</v>
      </c>
    </row>
    <row r="344" spans="1:9">
      <c r="A344" t="str">
        <f>"0216178 "</f>
        <v xml:space="preserve">0216178 </v>
      </c>
      <c r="B344" t="s">
        <v>115</v>
      </c>
      <c r="C344" t="s">
        <v>1276</v>
      </c>
      <c r="D344" t="s">
        <v>1277</v>
      </c>
      <c r="E344">
        <v>1</v>
      </c>
      <c r="F344" t="s">
        <v>1263</v>
      </c>
      <c r="G344" t="s">
        <v>119</v>
      </c>
      <c r="H344" t="s">
        <v>1276</v>
      </c>
      <c r="I344" t="s">
        <v>1278</v>
      </c>
    </row>
    <row r="345" spans="1:9">
      <c r="A345" t="str">
        <f>"0216180 "</f>
        <v xml:space="preserve">0216180 </v>
      </c>
      <c r="B345" t="s">
        <v>115</v>
      </c>
      <c r="C345" t="s">
        <v>1279</v>
      </c>
      <c r="D345" t="s">
        <v>1280</v>
      </c>
      <c r="E345">
        <v>1</v>
      </c>
      <c r="F345" t="s">
        <v>1224</v>
      </c>
      <c r="G345" t="s">
        <v>119</v>
      </c>
      <c r="H345" t="s">
        <v>1279</v>
      </c>
      <c r="I345" t="s">
        <v>1281</v>
      </c>
    </row>
    <row r="346" spans="1:9">
      <c r="A346" t="str">
        <f>"0216181 "</f>
        <v xml:space="preserve">0216181 </v>
      </c>
      <c r="B346" t="s">
        <v>115</v>
      </c>
      <c r="C346" t="s">
        <v>1282</v>
      </c>
      <c r="D346" t="s">
        <v>1283</v>
      </c>
      <c r="E346">
        <v>1</v>
      </c>
      <c r="F346" t="s">
        <v>450</v>
      </c>
      <c r="G346" t="s">
        <v>119</v>
      </c>
      <c r="H346" t="s">
        <v>1282</v>
      </c>
      <c r="I346" t="s">
        <v>1284</v>
      </c>
    </row>
    <row r="347" spans="1:9">
      <c r="A347" t="str">
        <f>"0216185 "</f>
        <v xml:space="preserve">0216185 </v>
      </c>
      <c r="B347" t="s">
        <v>115</v>
      </c>
      <c r="C347" t="s">
        <v>1285</v>
      </c>
      <c r="D347" t="s">
        <v>1286</v>
      </c>
      <c r="E347">
        <v>4</v>
      </c>
      <c r="F347" t="s">
        <v>1287</v>
      </c>
      <c r="G347" t="s">
        <v>119</v>
      </c>
      <c r="H347" t="s">
        <v>1285</v>
      </c>
      <c r="I347" t="s">
        <v>1288</v>
      </c>
    </row>
    <row r="348" spans="1:9">
      <c r="A348" t="str">
        <f>"0216187 "</f>
        <v xml:space="preserve">0216187 </v>
      </c>
      <c r="B348" t="s">
        <v>115</v>
      </c>
      <c r="C348" t="s">
        <v>1289</v>
      </c>
      <c r="D348" t="s">
        <v>1290</v>
      </c>
      <c r="E348">
        <v>1</v>
      </c>
      <c r="F348" t="s">
        <v>1291</v>
      </c>
      <c r="G348" t="s">
        <v>119</v>
      </c>
      <c r="H348" t="s">
        <v>1289</v>
      </c>
      <c r="I348" t="s">
        <v>1292</v>
      </c>
    </row>
    <row r="349" spans="1:9">
      <c r="A349" t="str">
        <f>"0216188 "</f>
        <v xml:space="preserve">0216188 </v>
      </c>
      <c r="B349" t="s">
        <v>115</v>
      </c>
      <c r="C349" t="s">
        <v>1293</v>
      </c>
      <c r="D349" t="s">
        <v>1294</v>
      </c>
      <c r="E349">
        <v>2</v>
      </c>
      <c r="F349" t="s">
        <v>1176</v>
      </c>
      <c r="G349" t="s">
        <v>119</v>
      </c>
      <c r="H349" t="s">
        <v>1293</v>
      </c>
      <c r="I349" t="s">
        <v>1295</v>
      </c>
    </row>
    <row r="350" spans="1:9">
      <c r="A350" t="str">
        <f>"0216190 "</f>
        <v xml:space="preserve">0216190 </v>
      </c>
      <c r="B350" t="s">
        <v>115</v>
      </c>
      <c r="C350" t="s">
        <v>1296</v>
      </c>
      <c r="D350" t="s">
        <v>1297</v>
      </c>
      <c r="E350">
        <v>1</v>
      </c>
      <c r="F350" t="s">
        <v>1298</v>
      </c>
      <c r="G350" t="s">
        <v>119</v>
      </c>
      <c r="H350" t="s">
        <v>1296</v>
      </c>
      <c r="I350" t="s">
        <v>1299</v>
      </c>
    </row>
    <row r="351" spans="1:9">
      <c r="A351" t="str">
        <f>"0216194 "</f>
        <v xml:space="preserve">0216194 </v>
      </c>
      <c r="B351" t="s">
        <v>115</v>
      </c>
      <c r="C351" t="s">
        <v>1300</v>
      </c>
      <c r="D351" t="s">
        <v>1301</v>
      </c>
      <c r="E351">
        <v>1</v>
      </c>
      <c r="F351" t="s">
        <v>1302</v>
      </c>
      <c r="G351" t="s">
        <v>119</v>
      </c>
      <c r="H351" t="s">
        <v>1300</v>
      </c>
      <c r="I351" t="s">
        <v>1303</v>
      </c>
    </row>
    <row r="352" spans="1:9">
      <c r="A352" t="str">
        <f>"0216195 "</f>
        <v xml:space="preserve">0216195 </v>
      </c>
      <c r="B352" t="s">
        <v>115</v>
      </c>
      <c r="C352" t="s">
        <v>1304</v>
      </c>
      <c r="D352" t="s">
        <v>1305</v>
      </c>
      <c r="E352">
        <v>2</v>
      </c>
      <c r="F352" t="s">
        <v>1306</v>
      </c>
      <c r="G352" t="s">
        <v>119</v>
      </c>
      <c r="H352" t="s">
        <v>1304</v>
      </c>
      <c r="I352" t="s">
        <v>1307</v>
      </c>
    </row>
    <row r="353" spans="1:9">
      <c r="A353" t="str">
        <f>"0216196 "</f>
        <v xml:space="preserve">0216196 </v>
      </c>
      <c r="B353" t="s">
        <v>115</v>
      </c>
      <c r="C353" t="s">
        <v>1308</v>
      </c>
      <c r="D353" t="s">
        <v>1309</v>
      </c>
      <c r="E353">
        <v>2</v>
      </c>
      <c r="F353" t="s">
        <v>1121</v>
      </c>
      <c r="G353" t="s">
        <v>119</v>
      </c>
      <c r="H353" t="s">
        <v>1308</v>
      </c>
      <c r="I353" t="s">
        <v>1310</v>
      </c>
    </row>
    <row r="354" spans="1:9">
      <c r="A354" t="str">
        <f>"0216197 "</f>
        <v xml:space="preserve">0216197 </v>
      </c>
      <c r="B354" t="s">
        <v>115</v>
      </c>
      <c r="C354" t="s">
        <v>1311</v>
      </c>
      <c r="D354" t="s">
        <v>1312</v>
      </c>
      <c r="E354">
        <v>2</v>
      </c>
      <c r="F354" t="s">
        <v>175</v>
      </c>
      <c r="G354" t="s">
        <v>119</v>
      </c>
      <c r="H354" t="s">
        <v>1311</v>
      </c>
      <c r="I354" t="s">
        <v>1313</v>
      </c>
    </row>
    <row r="355" spans="1:9">
      <c r="A355" t="str">
        <f>"0216199 "</f>
        <v xml:space="preserve">0216199 </v>
      </c>
      <c r="B355" t="s">
        <v>115</v>
      </c>
      <c r="C355" t="s">
        <v>1314</v>
      </c>
      <c r="D355" t="s">
        <v>1315</v>
      </c>
      <c r="E355">
        <v>2</v>
      </c>
      <c r="F355" t="s">
        <v>358</v>
      </c>
      <c r="G355" t="s">
        <v>119</v>
      </c>
      <c r="H355" t="s">
        <v>1314</v>
      </c>
      <c r="I355" t="s">
        <v>1316</v>
      </c>
    </row>
    <row r="356" spans="1:9">
      <c r="A356" t="str">
        <f>"0216202 "</f>
        <v xml:space="preserve">0216202 </v>
      </c>
      <c r="B356" t="s">
        <v>115</v>
      </c>
      <c r="C356" t="s">
        <v>1317</v>
      </c>
      <c r="D356" t="s">
        <v>1318</v>
      </c>
      <c r="E356">
        <v>4</v>
      </c>
      <c r="F356" t="s">
        <v>240</v>
      </c>
      <c r="G356" t="s">
        <v>119</v>
      </c>
      <c r="H356" t="s">
        <v>1317</v>
      </c>
      <c r="I356" t="s">
        <v>1319</v>
      </c>
    </row>
    <row r="357" spans="1:9">
      <c r="A357" t="str">
        <f>"0216203 "</f>
        <v xml:space="preserve">0216203 </v>
      </c>
      <c r="B357" t="s">
        <v>115</v>
      </c>
      <c r="C357" t="s">
        <v>1320</v>
      </c>
      <c r="D357" t="s">
        <v>1321</v>
      </c>
      <c r="E357">
        <v>4</v>
      </c>
      <c r="F357" t="s">
        <v>179</v>
      </c>
      <c r="G357" t="s">
        <v>119</v>
      </c>
      <c r="H357" t="s">
        <v>1320</v>
      </c>
      <c r="I357" t="s">
        <v>1322</v>
      </c>
    </row>
    <row r="358" spans="1:9">
      <c r="A358" t="str">
        <f>"0216204 "</f>
        <v xml:space="preserve">0216204 </v>
      </c>
      <c r="B358" t="s">
        <v>115</v>
      </c>
      <c r="C358" t="s">
        <v>1323</v>
      </c>
      <c r="D358" t="s">
        <v>1324</v>
      </c>
      <c r="E358">
        <v>2</v>
      </c>
      <c r="F358" t="s">
        <v>205</v>
      </c>
      <c r="G358" t="s">
        <v>119</v>
      </c>
      <c r="H358" t="s">
        <v>1323</v>
      </c>
      <c r="I358" t="s">
        <v>1325</v>
      </c>
    </row>
    <row r="359" spans="1:9">
      <c r="A359" t="str">
        <f>"0216218 "</f>
        <v xml:space="preserve">0216218 </v>
      </c>
      <c r="B359" t="s">
        <v>115</v>
      </c>
      <c r="C359" t="s">
        <v>1326</v>
      </c>
      <c r="D359" t="s">
        <v>1327</v>
      </c>
      <c r="E359">
        <v>2</v>
      </c>
      <c r="F359" t="s">
        <v>1328</v>
      </c>
      <c r="G359" t="s">
        <v>119</v>
      </c>
      <c r="H359" t="s">
        <v>1326</v>
      </c>
      <c r="I359" t="s">
        <v>1329</v>
      </c>
    </row>
    <row r="360" spans="1:9">
      <c r="A360" t="str">
        <f>"0216219 "</f>
        <v xml:space="preserve">0216219 </v>
      </c>
      <c r="B360" t="s">
        <v>115</v>
      </c>
      <c r="C360" t="s">
        <v>1330</v>
      </c>
      <c r="D360" t="s">
        <v>1331</v>
      </c>
      <c r="E360">
        <v>2</v>
      </c>
      <c r="F360" t="s">
        <v>679</v>
      </c>
      <c r="G360" t="s">
        <v>119</v>
      </c>
      <c r="H360" t="s">
        <v>1330</v>
      </c>
      <c r="I360" t="s">
        <v>1332</v>
      </c>
    </row>
    <row r="361" spans="1:9">
      <c r="A361" t="str">
        <f>"0216221 "</f>
        <v xml:space="preserve">0216221 </v>
      </c>
      <c r="B361" t="s">
        <v>115</v>
      </c>
      <c r="C361" t="s">
        <v>1333</v>
      </c>
      <c r="D361" t="s">
        <v>1334</v>
      </c>
      <c r="E361">
        <v>2</v>
      </c>
      <c r="F361" t="s">
        <v>1335</v>
      </c>
      <c r="G361" t="s">
        <v>119</v>
      </c>
      <c r="H361" t="s">
        <v>1333</v>
      </c>
      <c r="I361" t="s">
        <v>1336</v>
      </c>
    </row>
    <row r="362" spans="1:9">
      <c r="A362" t="str">
        <f>"0216223 "</f>
        <v xml:space="preserve">0216223 </v>
      </c>
      <c r="B362" t="s">
        <v>115</v>
      </c>
      <c r="C362" t="s">
        <v>1337</v>
      </c>
      <c r="D362" t="s">
        <v>1338</v>
      </c>
      <c r="E362">
        <v>1</v>
      </c>
      <c r="F362" t="s">
        <v>1339</v>
      </c>
      <c r="G362" t="s">
        <v>119</v>
      </c>
      <c r="H362" t="s">
        <v>1337</v>
      </c>
      <c r="I362" t="s">
        <v>1340</v>
      </c>
    </row>
    <row r="363" spans="1:9">
      <c r="A363" t="str">
        <f>"0215220 "</f>
        <v xml:space="preserve">0215220 </v>
      </c>
      <c r="B363" t="s">
        <v>115</v>
      </c>
      <c r="C363" t="s">
        <v>1341</v>
      </c>
      <c r="D363" t="s">
        <v>1342</v>
      </c>
      <c r="E363" t="s">
        <v>20</v>
      </c>
      <c r="F363" t="s">
        <v>1343</v>
      </c>
      <c r="G363" t="s">
        <v>119</v>
      </c>
      <c r="H363" t="s">
        <v>1341</v>
      </c>
      <c r="I363" t="s">
        <v>1344</v>
      </c>
    </row>
    <row r="364" spans="1:9">
      <c r="A364" t="str">
        <f>"0215210 "</f>
        <v xml:space="preserve">0215210 </v>
      </c>
      <c r="B364" t="s">
        <v>115</v>
      </c>
      <c r="C364" t="s">
        <v>1345</v>
      </c>
      <c r="D364" t="s">
        <v>1346</v>
      </c>
      <c r="E364">
        <v>2</v>
      </c>
      <c r="F364" t="s">
        <v>1287</v>
      </c>
      <c r="G364" t="s">
        <v>119</v>
      </c>
      <c r="H364" t="s">
        <v>1345</v>
      </c>
      <c r="I364" t="s">
        <v>1347</v>
      </c>
    </row>
    <row r="365" spans="1:9">
      <c r="A365" t="str">
        <f>"0215221 "</f>
        <v xml:space="preserve">0215221 </v>
      </c>
      <c r="B365" t="s">
        <v>115</v>
      </c>
      <c r="C365" t="s">
        <v>1348</v>
      </c>
      <c r="D365" t="s">
        <v>1349</v>
      </c>
      <c r="E365" t="s">
        <v>20</v>
      </c>
      <c r="F365" t="s">
        <v>1065</v>
      </c>
      <c r="G365" t="s">
        <v>119</v>
      </c>
      <c r="H365" t="s">
        <v>1348</v>
      </c>
      <c r="I365" t="s">
        <v>1148</v>
      </c>
    </row>
    <row r="366" spans="1:9">
      <c r="A366" t="str">
        <f>"0215222 "</f>
        <v xml:space="preserve">0215222 </v>
      </c>
      <c r="B366" t="s">
        <v>115</v>
      </c>
      <c r="C366" t="s">
        <v>1350</v>
      </c>
      <c r="D366" t="s">
        <v>1351</v>
      </c>
      <c r="E366">
        <v>2</v>
      </c>
      <c r="F366" t="s">
        <v>179</v>
      </c>
      <c r="G366" t="s">
        <v>119</v>
      </c>
      <c r="H366" t="s">
        <v>1350</v>
      </c>
      <c r="I366" t="s">
        <v>1352</v>
      </c>
    </row>
    <row r="367" spans="1:9">
      <c r="A367" t="str">
        <f>"0215209 "</f>
        <v xml:space="preserve">0215209 </v>
      </c>
      <c r="B367" t="s">
        <v>115</v>
      </c>
      <c r="C367" t="s">
        <v>1353</v>
      </c>
      <c r="D367" t="s">
        <v>1354</v>
      </c>
      <c r="E367">
        <v>2</v>
      </c>
      <c r="F367" t="s">
        <v>1355</v>
      </c>
      <c r="G367" t="s">
        <v>119</v>
      </c>
      <c r="H367" t="s">
        <v>1353</v>
      </c>
      <c r="I367" t="s">
        <v>1356</v>
      </c>
    </row>
    <row r="368" spans="1:9">
      <c r="A368" t="str">
        <f>"0215223 "</f>
        <v xml:space="preserve">0215223 </v>
      </c>
      <c r="B368" t="s">
        <v>115</v>
      </c>
      <c r="C368" t="s">
        <v>1357</v>
      </c>
      <c r="D368" t="s">
        <v>1358</v>
      </c>
      <c r="E368">
        <v>2</v>
      </c>
      <c r="F368" t="s">
        <v>675</v>
      </c>
      <c r="G368" t="s">
        <v>119</v>
      </c>
      <c r="H368" t="s">
        <v>1357</v>
      </c>
      <c r="I368" t="s">
        <v>1359</v>
      </c>
    </row>
    <row r="369" spans="1:9">
      <c r="A369" t="str">
        <f>"0215261 "</f>
        <v xml:space="preserve">0215261 </v>
      </c>
      <c r="B369" t="s">
        <v>115</v>
      </c>
      <c r="C369" t="s">
        <v>1360</v>
      </c>
      <c r="D369" t="s">
        <v>1361</v>
      </c>
      <c r="E369">
        <v>1</v>
      </c>
      <c r="F369" t="s">
        <v>1362</v>
      </c>
      <c r="G369" t="s">
        <v>119</v>
      </c>
      <c r="H369" t="s">
        <v>1360</v>
      </c>
      <c r="I369" t="s">
        <v>1363</v>
      </c>
    </row>
    <row r="370" spans="1:9">
      <c r="A370" t="str">
        <f>"0215262 "</f>
        <v xml:space="preserve">0215262 </v>
      </c>
      <c r="B370" t="s">
        <v>115</v>
      </c>
      <c r="C370" t="s">
        <v>1364</v>
      </c>
      <c r="D370" t="s">
        <v>1365</v>
      </c>
      <c r="E370">
        <v>1</v>
      </c>
      <c r="F370" t="s">
        <v>171</v>
      </c>
      <c r="G370" t="s">
        <v>119</v>
      </c>
      <c r="H370" t="s">
        <v>1364</v>
      </c>
      <c r="I370" t="s">
        <v>1366</v>
      </c>
    </row>
    <row r="371" spans="1:9">
      <c r="A371" t="str">
        <f>"0215523 "</f>
        <v xml:space="preserve">0215523 </v>
      </c>
      <c r="B371" t="s">
        <v>115</v>
      </c>
      <c r="C371" t="s">
        <v>1367</v>
      </c>
      <c r="D371" t="s">
        <v>1368</v>
      </c>
      <c r="E371">
        <v>1</v>
      </c>
      <c r="F371" t="s">
        <v>1369</v>
      </c>
      <c r="G371" t="s">
        <v>119</v>
      </c>
      <c r="H371" t="s">
        <v>1367</v>
      </c>
      <c r="I371" t="s">
        <v>1370</v>
      </c>
    </row>
    <row r="372" spans="1:9">
      <c r="A372" t="str">
        <f>"0215190 "</f>
        <v xml:space="preserve">0215190 </v>
      </c>
      <c r="B372" t="s">
        <v>115</v>
      </c>
      <c r="C372" t="s">
        <v>1371</v>
      </c>
      <c r="D372" t="s">
        <v>1372</v>
      </c>
      <c r="E372">
        <v>2</v>
      </c>
      <c r="F372" t="s">
        <v>1373</v>
      </c>
      <c r="G372" t="s">
        <v>119</v>
      </c>
      <c r="H372" t="s">
        <v>1371</v>
      </c>
      <c r="I372" t="s">
        <v>1374</v>
      </c>
    </row>
    <row r="373" spans="1:9">
      <c r="A373" t="str">
        <f>"0215191 "</f>
        <v xml:space="preserve">0215191 </v>
      </c>
      <c r="B373" t="s">
        <v>115</v>
      </c>
      <c r="C373" t="s">
        <v>1375</v>
      </c>
      <c r="D373" t="s">
        <v>1376</v>
      </c>
      <c r="E373">
        <v>1</v>
      </c>
      <c r="F373" t="s">
        <v>1271</v>
      </c>
      <c r="G373" t="s">
        <v>119</v>
      </c>
      <c r="H373" t="s">
        <v>1375</v>
      </c>
      <c r="I373" t="s">
        <v>1377</v>
      </c>
    </row>
    <row r="374" spans="1:9">
      <c r="A374" t="str">
        <f>"0215213 "</f>
        <v xml:space="preserve">0215213 </v>
      </c>
      <c r="B374" t="s">
        <v>115</v>
      </c>
      <c r="C374" t="s">
        <v>1378</v>
      </c>
      <c r="D374" t="s">
        <v>1379</v>
      </c>
      <c r="E374">
        <v>2</v>
      </c>
      <c r="F374" t="s">
        <v>508</v>
      </c>
      <c r="G374" t="s">
        <v>119</v>
      </c>
      <c r="H374" t="s">
        <v>1378</v>
      </c>
      <c r="I374" t="s">
        <v>1380</v>
      </c>
    </row>
    <row r="375" spans="1:9">
      <c r="A375" t="str">
        <f>"0215201 "</f>
        <v xml:space="preserve">0215201 </v>
      </c>
      <c r="B375" t="s">
        <v>115</v>
      </c>
      <c r="C375" t="s">
        <v>1381</v>
      </c>
      <c r="D375" t="s">
        <v>1382</v>
      </c>
      <c r="E375">
        <v>4</v>
      </c>
      <c r="F375" t="s">
        <v>1242</v>
      </c>
      <c r="G375" t="s">
        <v>119</v>
      </c>
      <c r="H375" t="s">
        <v>1381</v>
      </c>
      <c r="I375" t="s">
        <v>1383</v>
      </c>
    </row>
    <row r="376" spans="1:9">
      <c r="A376" t="str">
        <f>"0215203 "</f>
        <v xml:space="preserve">0215203 </v>
      </c>
      <c r="B376" t="s">
        <v>115</v>
      </c>
      <c r="C376" t="s">
        <v>1384</v>
      </c>
      <c r="D376" t="s">
        <v>1385</v>
      </c>
      <c r="E376">
        <v>3</v>
      </c>
      <c r="F376" t="s">
        <v>1386</v>
      </c>
      <c r="G376" t="s">
        <v>119</v>
      </c>
      <c r="H376" t="s">
        <v>1384</v>
      </c>
      <c r="I376" t="s">
        <v>1387</v>
      </c>
    </row>
    <row r="377" spans="1:9">
      <c r="A377" t="str">
        <f>"0215217 "</f>
        <v xml:space="preserve">0215217 </v>
      </c>
      <c r="B377" t="s">
        <v>115</v>
      </c>
      <c r="C377" t="s">
        <v>1388</v>
      </c>
      <c r="D377" t="s">
        <v>1389</v>
      </c>
      <c r="E377">
        <v>2</v>
      </c>
      <c r="F377" t="s">
        <v>1390</v>
      </c>
      <c r="G377" t="s">
        <v>119</v>
      </c>
      <c r="H377" t="s">
        <v>1388</v>
      </c>
      <c r="I377" t="s">
        <v>1391</v>
      </c>
    </row>
    <row r="378" spans="1:9">
      <c r="A378" t="str">
        <f>"0215218 "</f>
        <v xml:space="preserve">0215218 </v>
      </c>
      <c r="B378" t="s">
        <v>115</v>
      </c>
      <c r="C378" t="s">
        <v>1392</v>
      </c>
      <c r="D378" t="s">
        <v>1393</v>
      </c>
      <c r="E378">
        <v>2</v>
      </c>
      <c r="F378" t="s">
        <v>1086</v>
      </c>
      <c r="G378" t="s">
        <v>119</v>
      </c>
      <c r="H378" t="s">
        <v>1392</v>
      </c>
      <c r="I378" t="s">
        <v>1394</v>
      </c>
    </row>
    <row r="379" spans="1:9">
      <c r="A379" t="str">
        <f>"0200855 "</f>
        <v xml:space="preserve">0200855 </v>
      </c>
      <c r="B379" t="s">
        <v>1395</v>
      </c>
      <c r="C379">
        <v>172764</v>
      </c>
      <c r="D379" t="s">
        <v>1396</v>
      </c>
      <c r="E379" t="s">
        <v>20</v>
      </c>
      <c r="F379" t="s">
        <v>1397</v>
      </c>
      <c r="G379" t="s">
        <v>1395</v>
      </c>
      <c r="H379">
        <v>172764</v>
      </c>
    </row>
    <row r="380" spans="1:9">
      <c r="A380" t="str">
        <f>"0007860 "</f>
        <v xml:space="preserve">0007860 </v>
      </c>
      <c r="B380" t="s">
        <v>1395</v>
      </c>
      <c r="C380">
        <v>194731</v>
      </c>
      <c r="D380" t="s">
        <v>1398</v>
      </c>
      <c r="E380">
        <v>3</v>
      </c>
      <c r="F380" t="s">
        <v>1399</v>
      </c>
      <c r="G380" t="s">
        <v>1395</v>
      </c>
      <c r="H380">
        <v>194731</v>
      </c>
    </row>
    <row r="381" spans="1:9">
      <c r="A381" t="str">
        <f>"0007874 "</f>
        <v xml:space="preserve">0007874 </v>
      </c>
      <c r="B381" t="s">
        <v>1395</v>
      </c>
      <c r="C381">
        <v>194734</v>
      </c>
      <c r="D381" t="s">
        <v>1400</v>
      </c>
      <c r="E381" t="s">
        <v>20</v>
      </c>
      <c r="F381" t="s">
        <v>1401</v>
      </c>
      <c r="G381" t="s">
        <v>1395</v>
      </c>
      <c r="H381">
        <v>194734</v>
      </c>
    </row>
    <row r="382" spans="1:9">
      <c r="A382" t="str">
        <f>"0007861 "</f>
        <v xml:space="preserve">0007861 </v>
      </c>
      <c r="B382" t="s">
        <v>1395</v>
      </c>
      <c r="C382">
        <v>194747</v>
      </c>
      <c r="D382" t="s">
        <v>1402</v>
      </c>
      <c r="E382" t="s">
        <v>20</v>
      </c>
      <c r="F382" t="s">
        <v>1403</v>
      </c>
      <c r="G382" t="s">
        <v>1395</v>
      </c>
      <c r="H382">
        <v>194747</v>
      </c>
    </row>
    <row r="383" spans="1:9">
      <c r="A383" t="str">
        <f>"0007883 "</f>
        <v xml:space="preserve">0007883 </v>
      </c>
      <c r="B383" t="s">
        <v>1395</v>
      </c>
      <c r="C383">
        <v>194748</v>
      </c>
      <c r="D383" t="s">
        <v>1404</v>
      </c>
      <c r="E383" t="s">
        <v>20</v>
      </c>
      <c r="F383" t="s">
        <v>1405</v>
      </c>
      <c r="G383" t="s">
        <v>1395</v>
      </c>
      <c r="H383">
        <v>194748</v>
      </c>
    </row>
    <row r="384" spans="1:9">
      <c r="A384" t="str">
        <f>"0007858 "</f>
        <v xml:space="preserve">0007858 </v>
      </c>
      <c r="B384" t="s">
        <v>1395</v>
      </c>
      <c r="C384">
        <v>194757</v>
      </c>
      <c r="D384" t="s">
        <v>1406</v>
      </c>
      <c r="E384" t="s">
        <v>20</v>
      </c>
      <c r="F384" t="s">
        <v>1407</v>
      </c>
      <c r="G384" t="s">
        <v>1395</v>
      </c>
      <c r="H384">
        <v>194757</v>
      </c>
    </row>
    <row r="385" spans="1:9">
      <c r="A385" t="str">
        <f>"0160627 "</f>
        <v xml:space="preserve">0160627 </v>
      </c>
      <c r="B385" t="s">
        <v>1395</v>
      </c>
      <c r="C385">
        <v>194832</v>
      </c>
      <c r="D385" t="s">
        <v>1408</v>
      </c>
      <c r="E385">
        <v>3</v>
      </c>
      <c r="F385" t="s">
        <v>1409</v>
      </c>
      <c r="G385" t="s">
        <v>1395</v>
      </c>
      <c r="H385">
        <v>194832</v>
      </c>
    </row>
    <row r="386" spans="1:9">
      <c r="A386" t="str">
        <f>"0155754 "</f>
        <v xml:space="preserve">0155754 </v>
      </c>
      <c r="B386" t="s">
        <v>1395</v>
      </c>
      <c r="C386">
        <v>194839</v>
      </c>
      <c r="D386" t="s">
        <v>1410</v>
      </c>
      <c r="E386" t="s">
        <v>20</v>
      </c>
      <c r="F386" t="s">
        <v>1411</v>
      </c>
      <c r="G386" t="s">
        <v>1395</v>
      </c>
      <c r="H386">
        <v>194839</v>
      </c>
      <c r="I386" t="str">
        <f>"2710198100"</f>
        <v>2710198100</v>
      </c>
    </row>
    <row r="387" spans="1:9">
      <c r="A387" t="str">
        <f>"0201396 "</f>
        <v xml:space="preserve">0201396 </v>
      </c>
      <c r="B387" t="s">
        <v>1395</v>
      </c>
      <c r="C387">
        <v>194849</v>
      </c>
      <c r="D387" t="s">
        <v>1412</v>
      </c>
      <c r="E387">
        <v>3</v>
      </c>
      <c r="F387" t="s">
        <v>1413</v>
      </c>
      <c r="G387" t="s">
        <v>1395</v>
      </c>
      <c r="H387">
        <v>194849</v>
      </c>
    </row>
    <row r="388" spans="1:9">
      <c r="A388" t="str">
        <f>"0155757 "</f>
        <v xml:space="preserve">0155757 </v>
      </c>
      <c r="B388" t="s">
        <v>1395</v>
      </c>
      <c r="C388">
        <v>194872</v>
      </c>
      <c r="D388" t="s">
        <v>1414</v>
      </c>
      <c r="E388" t="s">
        <v>20</v>
      </c>
      <c r="F388" t="s">
        <v>1415</v>
      </c>
      <c r="G388" t="s">
        <v>1395</v>
      </c>
      <c r="H388">
        <v>194872</v>
      </c>
    </row>
    <row r="389" spans="1:9">
      <c r="A389" t="str">
        <f>"0155756 "</f>
        <v xml:space="preserve">0155756 </v>
      </c>
      <c r="B389" t="s">
        <v>1395</v>
      </c>
      <c r="C389">
        <v>194873</v>
      </c>
      <c r="D389" t="s">
        <v>1416</v>
      </c>
      <c r="E389" t="s">
        <v>20</v>
      </c>
      <c r="F389" t="s">
        <v>1417</v>
      </c>
      <c r="G389" t="s">
        <v>1395</v>
      </c>
      <c r="H389">
        <v>194873</v>
      </c>
    </row>
    <row r="390" spans="1:9">
      <c r="A390" t="str">
        <f>"0155755 "</f>
        <v xml:space="preserve">0155755 </v>
      </c>
      <c r="B390" t="s">
        <v>1395</v>
      </c>
      <c r="C390">
        <v>194875</v>
      </c>
      <c r="D390" t="s">
        <v>1418</v>
      </c>
      <c r="E390" t="s">
        <v>20</v>
      </c>
      <c r="F390" t="s">
        <v>1419</v>
      </c>
      <c r="G390" t="s">
        <v>1395</v>
      </c>
      <c r="H390">
        <v>194875</v>
      </c>
    </row>
    <row r="391" spans="1:9">
      <c r="A391" t="str">
        <f>"0200581 "</f>
        <v xml:space="preserve">0200581 </v>
      </c>
      <c r="B391" t="s">
        <v>1395</v>
      </c>
      <c r="C391">
        <v>194877</v>
      </c>
      <c r="D391" t="s">
        <v>1420</v>
      </c>
      <c r="E391" t="s">
        <v>20</v>
      </c>
      <c r="F391" t="s">
        <v>1421</v>
      </c>
      <c r="G391" t="s">
        <v>1395</v>
      </c>
      <c r="H391">
        <v>194877</v>
      </c>
    </row>
    <row r="392" spans="1:9">
      <c r="A392" t="str">
        <f>"0200578 "</f>
        <v xml:space="preserve">0200578 </v>
      </c>
      <c r="B392" t="s">
        <v>1395</v>
      </c>
      <c r="C392">
        <v>194878</v>
      </c>
      <c r="D392" t="s">
        <v>1422</v>
      </c>
      <c r="E392" t="s">
        <v>20</v>
      </c>
      <c r="F392" t="s">
        <v>1423</v>
      </c>
      <c r="G392" t="s">
        <v>1395</v>
      </c>
      <c r="H392">
        <v>194878</v>
      </c>
    </row>
    <row r="393" spans="1:9">
      <c r="A393" t="str">
        <f>"0200614 "</f>
        <v xml:space="preserve">0200614 </v>
      </c>
      <c r="B393" t="s">
        <v>1395</v>
      </c>
      <c r="C393">
        <v>194906</v>
      </c>
      <c r="D393" t="s">
        <v>1424</v>
      </c>
      <c r="E393">
        <v>3</v>
      </c>
      <c r="F393" t="s">
        <v>1425</v>
      </c>
      <c r="G393" t="s">
        <v>1395</v>
      </c>
      <c r="H393">
        <v>194906</v>
      </c>
    </row>
    <row r="394" spans="1:9">
      <c r="A394" t="str">
        <f>"0200616 "</f>
        <v xml:space="preserve">0200616 </v>
      </c>
      <c r="B394" t="s">
        <v>1395</v>
      </c>
      <c r="C394">
        <v>194908</v>
      </c>
      <c r="D394" t="s">
        <v>1426</v>
      </c>
      <c r="E394">
        <v>2</v>
      </c>
      <c r="F394" t="s">
        <v>1427</v>
      </c>
      <c r="G394" t="s">
        <v>1395</v>
      </c>
      <c r="H394">
        <v>194908</v>
      </c>
    </row>
    <row r="395" spans="1:9">
      <c r="A395" t="str">
        <f>"0086607 "</f>
        <v xml:space="preserve">0086607 </v>
      </c>
      <c r="B395" t="s">
        <v>1395</v>
      </c>
      <c r="C395">
        <v>194949</v>
      </c>
      <c r="D395" t="s">
        <v>1428</v>
      </c>
      <c r="E395" t="s">
        <v>20</v>
      </c>
      <c r="F395" t="s">
        <v>1429</v>
      </c>
      <c r="G395" t="s">
        <v>1395</v>
      </c>
      <c r="H395">
        <v>194949</v>
      </c>
    </row>
    <row r="396" spans="1:9">
      <c r="A396" t="str">
        <f>"0067631 "</f>
        <v xml:space="preserve">0067631 </v>
      </c>
      <c r="B396" t="s">
        <v>1395</v>
      </c>
      <c r="C396">
        <v>194965</v>
      </c>
      <c r="D396" t="s">
        <v>1430</v>
      </c>
      <c r="E396" t="s">
        <v>20</v>
      </c>
      <c r="F396" t="s">
        <v>1431</v>
      </c>
      <c r="G396" t="s">
        <v>1395</v>
      </c>
      <c r="H396">
        <v>194965</v>
      </c>
    </row>
    <row r="397" spans="1:9">
      <c r="A397" t="str">
        <f>"0156887 "</f>
        <v xml:space="preserve">0156887 </v>
      </c>
      <c r="B397" t="s">
        <v>1395</v>
      </c>
      <c r="C397">
        <v>201552</v>
      </c>
      <c r="D397" t="s">
        <v>1432</v>
      </c>
      <c r="E397">
        <v>3</v>
      </c>
      <c r="F397" t="s">
        <v>1433</v>
      </c>
      <c r="G397" t="s">
        <v>1395</v>
      </c>
      <c r="H397">
        <v>201552</v>
      </c>
    </row>
    <row r="398" spans="1:9">
      <c r="A398" t="str">
        <f>"0156868 "</f>
        <v xml:space="preserve">0156868 </v>
      </c>
      <c r="B398" t="s">
        <v>1395</v>
      </c>
      <c r="C398">
        <v>201553</v>
      </c>
      <c r="D398" t="s">
        <v>1434</v>
      </c>
      <c r="E398" t="s">
        <v>20</v>
      </c>
      <c r="F398" t="s">
        <v>1435</v>
      </c>
      <c r="G398" t="s">
        <v>1395</v>
      </c>
      <c r="H398">
        <v>201553</v>
      </c>
    </row>
    <row r="399" spans="1:9">
      <c r="A399" t="str">
        <f>"0156888 "</f>
        <v xml:space="preserve">0156888 </v>
      </c>
      <c r="B399" t="s">
        <v>1395</v>
      </c>
      <c r="C399">
        <v>201554</v>
      </c>
      <c r="D399" t="s">
        <v>1436</v>
      </c>
      <c r="E399" t="s">
        <v>20</v>
      </c>
      <c r="F399" t="s">
        <v>1437</v>
      </c>
      <c r="G399" t="s">
        <v>1395</v>
      </c>
      <c r="H399">
        <v>201554</v>
      </c>
    </row>
    <row r="400" spans="1:9">
      <c r="A400" t="str">
        <f>"0156886 "</f>
        <v xml:space="preserve">0156886 </v>
      </c>
      <c r="B400" t="s">
        <v>1395</v>
      </c>
      <c r="C400">
        <v>201555</v>
      </c>
      <c r="D400" t="s">
        <v>1438</v>
      </c>
      <c r="E400" t="s">
        <v>20</v>
      </c>
      <c r="F400" t="s">
        <v>1439</v>
      </c>
      <c r="G400" t="s">
        <v>1395</v>
      </c>
      <c r="H400">
        <v>201555</v>
      </c>
    </row>
    <row r="401" spans="1:8">
      <c r="A401" t="str">
        <f>"0156944 "</f>
        <v xml:space="preserve">0156944 </v>
      </c>
      <c r="B401" t="s">
        <v>1395</v>
      </c>
      <c r="C401">
        <v>201558</v>
      </c>
      <c r="D401" t="s">
        <v>1440</v>
      </c>
      <c r="E401" t="s">
        <v>20</v>
      </c>
      <c r="F401" t="s">
        <v>1441</v>
      </c>
      <c r="G401" t="s">
        <v>1395</v>
      </c>
      <c r="H401">
        <v>201558</v>
      </c>
    </row>
    <row r="402" spans="1:8">
      <c r="A402" t="str">
        <f>"0211715 "</f>
        <v xml:space="preserve">0211715 </v>
      </c>
      <c r="B402" t="s">
        <v>1395</v>
      </c>
      <c r="C402">
        <v>203701</v>
      </c>
      <c r="D402" t="s">
        <v>1442</v>
      </c>
      <c r="E402" t="s">
        <v>20</v>
      </c>
      <c r="F402" t="s">
        <v>1443</v>
      </c>
      <c r="G402" t="s">
        <v>1395</v>
      </c>
      <c r="H402">
        <v>203701</v>
      </c>
    </row>
    <row r="403" spans="1:8">
      <c r="A403" t="str">
        <f>"0033876 "</f>
        <v xml:space="preserve">0033876 </v>
      </c>
      <c r="B403" t="s">
        <v>1444</v>
      </c>
      <c r="C403" t="s">
        <v>1445</v>
      </c>
      <c r="D403" t="s">
        <v>1446</v>
      </c>
      <c r="E403" t="s">
        <v>20</v>
      </c>
      <c r="F403" t="s">
        <v>1447</v>
      </c>
      <c r="G403" t="s">
        <v>1444</v>
      </c>
      <c r="H403" t="s">
        <v>1445</v>
      </c>
    </row>
    <row r="404" spans="1:8">
      <c r="A404" t="str">
        <f>"0033875 "</f>
        <v xml:space="preserve">0033875 </v>
      </c>
      <c r="B404" t="s">
        <v>1444</v>
      </c>
      <c r="C404" t="s">
        <v>1448</v>
      </c>
      <c r="D404" t="s">
        <v>1449</v>
      </c>
      <c r="E404" t="s">
        <v>20</v>
      </c>
      <c r="F404" t="s">
        <v>1450</v>
      </c>
      <c r="G404" t="s">
        <v>1444</v>
      </c>
      <c r="H404" t="s">
        <v>1448</v>
      </c>
    </row>
    <row r="405" spans="1:8">
      <c r="A405" t="str">
        <f>"0033911 "</f>
        <v xml:space="preserve">0033911 </v>
      </c>
      <c r="B405" t="s">
        <v>1444</v>
      </c>
      <c r="C405" t="s">
        <v>1451</v>
      </c>
      <c r="D405" t="s">
        <v>1452</v>
      </c>
      <c r="E405">
        <v>1</v>
      </c>
      <c r="F405" t="s">
        <v>1453</v>
      </c>
      <c r="G405" t="s">
        <v>1444</v>
      </c>
      <c r="H405" t="s">
        <v>1451</v>
      </c>
    </row>
    <row r="406" spans="1:8">
      <c r="A406" t="str">
        <f>"0033910 "</f>
        <v xml:space="preserve">0033910 </v>
      </c>
      <c r="B406" t="s">
        <v>1444</v>
      </c>
      <c r="C406" t="s">
        <v>1454</v>
      </c>
      <c r="D406" t="s">
        <v>1455</v>
      </c>
      <c r="E406" t="s">
        <v>20</v>
      </c>
      <c r="F406" t="s">
        <v>1456</v>
      </c>
      <c r="G406" t="s">
        <v>1444</v>
      </c>
      <c r="H406" t="s">
        <v>1454</v>
      </c>
    </row>
    <row r="407" spans="1:8">
      <c r="A407" t="str">
        <f>"0220107 "</f>
        <v xml:space="preserve">0220107 </v>
      </c>
      <c r="B407" t="s">
        <v>1444</v>
      </c>
      <c r="C407" t="s">
        <v>1457</v>
      </c>
      <c r="D407" t="s">
        <v>1458</v>
      </c>
      <c r="E407">
        <v>1</v>
      </c>
      <c r="F407" t="s">
        <v>1459</v>
      </c>
      <c r="G407" t="s">
        <v>1444</v>
      </c>
      <c r="H407" t="s">
        <v>1457</v>
      </c>
    </row>
    <row r="408" spans="1:8">
      <c r="A408" t="str">
        <f>"0220106 "</f>
        <v xml:space="preserve">0220106 </v>
      </c>
      <c r="B408" t="s">
        <v>1444</v>
      </c>
      <c r="C408" t="s">
        <v>1460</v>
      </c>
      <c r="D408" t="s">
        <v>1461</v>
      </c>
      <c r="E408">
        <v>2</v>
      </c>
      <c r="F408" t="s">
        <v>1462</v>
      </c>
      <c r="G408" t="s">
        <v>1444</v>
      </c>
      <c r="H408" t="s">
        <v>1460</v>
      </c>
    </row>
    <row r="409" spans="1:8">
      <c r="A409" t="str">
        <f>"0020890 "</f>
        <v xml:space="preserve">0020890 </v>
      </c>
      <c r="B409" t="s">
        <v>1444</v>
      </c>
      <c r="C409" t="s">
        <v>1463</v>
      </c>
      <c r="D409" t="s">
        <v>1464</v>
      </c>
      <c r="E409">
        <v>3</v>
      </c>
      <c r="F409" t="s">
        <v>1465</v>
      </c>
      <c r="G409" t="s">
        <v>1444</v>
      </c>
      <c r="H409" t="s">
        <v>1463</v>
      </c>
    </row>
    <row r="410" spans="1:8">
      <c r="A410" t="str">
        <f>"0020896 "</f>
        <v xml:space="preserve">0020896 </v>
      </c>
      <c r="B410" t="s">
        <v>1444</v>
      </c>
      <c r="C410" t="s">
        <v>1466</v>
      </c>
      <c r="D410" t="s">
        <v>1467</v>
      </c>
      <c r="E410">
        <v>1</v>
      </c>
      <c r="F410" t="s">
        <v>1468</v>
      </c>
      <c r="G410" t="s">
        <v>1444</v>
      </c>
      <c r="H410" t="s">
        <v>1466</v>
      </c>
    </row>
    <row r="411" spans="1:8">
      <c r="A411" t="str">
        <f>"0020891 "</f>
        <v xml:space="preserve">0020891 </v>
      </c>
      <c r="B411" t="s">
        <v>1444</v>
      </c>
      <c r="C411" t="s">
        <v>1469</v>
      </c>
      <c r="D411" t="s">
        <v>1470</v>
      </c>
      <c r="E411" t="s">
        <v>20</v>
      </c>
      <c r="F411" t="s">
        <v>1471</v>
      </c>
      <c r="G411" t="s">
        <v>1444</v>
      </c>
      <c r="H411" t="s">
        <v>1469</v>
      </c>
    </row>
    <row r="412" spans="1:8">
      <c r="A412" t="str">
        <f>"0033824 "</f>
        <v xml:space="preserve">0033824 </v>
      </c>
      <c r="B412" t="s">
        <v>1444</v>
      </c>
      <c r="C412" t="s">
        <v>1472</v>
      </c>
      <c r="D412" t="s">
        <v>1473</v>
      </c>
      <c r="E412">
        <v>1</v>
      </c>
      <c r="F412" t="s">
        <v>1474</v>
      </c>
      <c r="G412" t="s">
        <v>1444</v>
      </c>
      <c r="H412" t="s">
        <v>1472</v>
      </c>
    </row>
    <row r="413" spans="1:8">
      <c r="A413" t="str">
        <f>"0033822 "</f>
        <v xml:space="preserve">0033822 </v>
      </c>
      <c r="B413" t="s">
        <v>1444</v>
      </c>
      <c r="C413" t="s">
        <v>1475</v>
      </c>
      <c r="D413" t="s">
        <v>1476</v>
      </c>
      <c r="E413">
        <v>2</v>
      </c>
      <c r="F413" t="s">
        <v>1477</v>
      </c>
      <c r="G413" t="s">
        <v>1444</v>
      </c>
      <c r="H413" t="s">
        <v>1475</v>
      </c>
    </row>
    <row r="414" spans="1:8">
      <c r="A414" t="str">
        <f>"0020897 "</f>
        <v xml:space="preserve">0020897 </v>
      </c>
      <c r="B414" t="s">
        <v>1444</v>
      </c>
      <c r="C414" t="s">
        <v>1478</v>
      </c>
      <c r="D414" t="s">
        <v>1479</v>
      </c>
      <c r="E414" t="s">
        <v>20</v>
      </c>
      <c r="F414" t="s">
        <v>1480</v>
      </c>
      <c r="G414" t="s">
        <v>1444</v>
      </c>
      <c r="H414" t="s">
        <v>1478</v>
      </c>
    </row>
    <row r="415" spans="1:8">
      <c r="A415" t="str">
        <f>"0020892 "</f>
        <v xml:space="preserve">0020892 </v>
      </c>
      <c r="B415" t="s">
        <v>1444</v>
      </c>
      <c r="C415" t="s">
        <v>1481</v>
      </c>
      <c r="D415" t="s">
        <v>1482</v>
      </c>
      <c r="E415" t="s">
        <v>20</v>
      </c>
      <c r="F415" t="s">
        <v>1483</v>
      </c>
      <c r="G415" t="s">
        <v>1444</v>
      </c>
      <c r="H415" t="s">
        <v>1481</v>
      </c>
    </row>
    <row r="416" spans="1:8">
      <c r="A416" t="str">
        <f>"0020898 "</f>
        <v xml:space="preserve">0020898 </v>
      </c>
      <c r="B416" t="s">
        <v>1444</v>
      </c>
      <c r="C416" t="s">
        <v>1484</v>
      </c>
      <c r="D416" t="s">
        <v>1485</v>
      </c>
      <c r="E416" t="s">
        <v>20</v>
      </c>
      <c r="F416" t="s">
        <v>1486</v>
      </c>
      <c r="G416" t="s">
        <v>1444</v>
      </c>
      <c r="H416" t="s">
        <v>1484</v>
      </c>
    </row>
    <row r="417" spans="1:8">
      <c r="A417" t="str">
        <f>"0033909 "</f>
        <v xml:space="preserve">0033909 </v>
      </c>
      <c r="B417" t="s">
        <v>1444</v>
      </c>
      <c r="C417" t="s">
        <v>1487</v>
      </c>
      <c r="D417" t="s">
        <v>1488</v>
      </c>
      <c r="E417">
        <v>3</v>
      </c>
      <c r="F417" t="s">
        <v>1489</v>
      </c>
      <c r="G417" t="s">
        <v>1444</v>
      </c>
      <c r="H417" t="s">
        <v>1487</v>
      </c>
    </row>
    <row r="418" spans="1:8">
      <c r="A418" t="str">
        <f>"0203920 "</f>
        <v xml:space="preserve">0203920 </v>
      </c>
      <c r="B418" t="s">
        <v>1444</v>
      </c>
      <c r="C418" t="s">
        <v>1490</v>
      </c>
      <c r="D418" t="s">
        <v>1491</v>
      </c>
      <c r="E418">
        <v>3</v>
      </c>
      <c r="F418" t="s">
        <v>1492</v>
      </c>
      <c r="G418" t="s">
        <v>1444</v>
      </c>
      <c r="H418" t="s">
        <v>1490</v>
      </c>
    </row>
    <row r="419" spans="1:8">
      <c r="A419" t="str">
        <f>"0158701 "</f>
        <v xml:space="preserve">0158701 </v>
      </c>
      <c r="B419" t="s">
        <v>1444</v>
      </c>
      <c r="C419" t="s">
        <v>1493</v>
      </c>
      <c r="D419" t="s">
        <v>1494</v>
      </c>
      <c r="E419">
        <v>2</v>
      </c>
      <c r="F419" t="s">
        <v>1495</v>
      </c>
      <c r="G419" t="s">
        <v>1444</v>
      </c>
      <c r="H419" t="s">
        <v>1493</v>
      </c>
    </row>
    <row r="420" spans="1:8">
      <c r="A420" t="str">
        <f>"0158700 "</f>
        <v xml:space="preserve">0158700 </v>
      </c>
      <c r="B420" t="s">
        <v>1444</v>
      </c>
      <c r="C420" t="s">
        <v>1496</v>
      </c>
      <c r="D420" t="s">
        <v>1497</v>
      </c>
      <c r="E420">
        <v>3</v>
      </c>
      <c r="F420" t="s">
        <v>1498</v>
      </c>
      <c r="G420" t="s">
        <v>1444</v>
      </c>
      <c r="H420" t="s">
        <v>1496</v>
      </c>
    </row>
    <row r="421" spans="1:8">
      <c r="A421" t="str">
        <f>"0020337 "</f>
        <v xml:space="preserve">0020337 </v>
      </c>
      <c r="B421" t="s">
        <v>1444</v>
      </c>
      <c r="C421" t="s">
        <v>1499</v>
      </c>
      <c r="D421" t="s">
        <v>1500</v>
      </c>
      <c r="E421" t="s">
        <v>20</v>
      </c>
      <c r="F421" t="s">
        <v>1501</v>
      </c>
      <c r="G421" t="s">
        <v>1444</v>
      </c>
      <c r="H421" t="s">
        <v>1499</v>
      </c>
    </row>
    <row r="422" spans="1:8">
      <c r="A422" t="str">
        <f>"0020887 "</f>
        <v xml:space="preserve">0020887 </v>
      </c>
      <c r="B422" t="s">
        <v>1444</v>
      </c>
      <c r="C422" t="s">
        <v>1502</v>
      </c>
      <c r="D422" t="s">
        <v>1503</v>
      </c>
      <c r="E422" t="s">
        <v>20</v>
      </c>
      <c r="F422" t="s">
        <v>1504</v>
      </c>
      <c r="G422" t="s">
        <v>1444</v>
      </c>
      <c r="H422" t="s">
        <v>1502</v>
      </c>
    </row>
    <row r="423" spans="1:8">
      <c r="A423" t="str">
        <f>"0020894 "</f>
        <v xml:space="preserve">0020894 </v>
      </c>
      <c r="B423" t="s">
        <v>1444</v>
      </c>
      <c r="C423" t="s">
        <v>1505</v>
      </c>
      <c r="D423" t="s">
        <v>1506</v>
      </c>
      <c r="E423" t="s">
        <v>20</v>
      </c>
      <c r="F423" t="s">
        <v>1507</v>
      </c>
      <c r="G423" t="s">
        <v>1444</v>
      </c>
      <c r="H423" t="s">
        <v>1505</v>
      </c>
    </row>
    <row r="424" spans="1:8">
      <c r="A424" t="str">
        <f>"0020888 "</f>
        <v xml:space="preserve">0020888 </v>
      </c>
      <c r="B424" t="s">
        <v>1444</v>
      </c>
      <c r="C424" t="s">
        <v>1508</v>
      </c>
      <c r="D424" t="s">
        <v>1509</v>
      </c>
      <c r="E424" t="s">
        <v>20</v>
      </c>
      <c r="F424" t="s">
        <v>1510</v>
      </c>
      <c r="G424" t="s">
        <v>1444</v>
      </c>
      <c r="H424" t="s">
        <v>1508</v>
      </c>
    </row>
    <row r="425" spans="1:8">
      <c r="A425" t="str">
        <f>"0020893 "</f>
        <v xml:space="preserve">0020893 </v>
      </c>
      <c r="B425" t="s">
        <v>1444</v>
      </c>
      <c r="C425" t="s">
        <v>1511</v>
      </c>
      <c r="D425" t="s">
        <v>1512</v>
      </c>
      <c r="E425" t="s">
        <v>20</v>
      </c>
      <c r="F425" t="s">
        <v>1513</v>
      </c>
      <c r="G425" t="s">
        <v>1444</v>
      </c>
      <c r="H425" t="s">
        <v>1511</v>
      </c>
    </row>
    <row r="426" spans="1:8">
      <c r="A426" t="str">
        <f>"0220100 "</f>
        <v xml:space="preserve">0220100 </v>
      </c>
      <c r="B426" t="s">
        <v>1444</v>
      </c>
      <c r="C426" t="s">
        <v>1514</v>
      </c>
      <c r="D426" t="s">
        <v>1515</v>
      </c>
      <c r="E426" t="s">
        <v>20</v>
      </c>
      <c r="F426" t="s">
        <v>1516</v>
      </c>
      <c r="G426" t="s">
        <v>1444</v>
      </c>
      <c r="H426" t="s">
        <v>1514</v>
      </c>
    </row>
    <row r="427" spans="1:8">
      <c r="A427" t="str">
        <f>"0220102 "</f>
        <v xml:space="preserve">0220102 </v>
      </c>
      <c r="B427" t="s">
        <v>1444</v>
      </c>
      <c r="C427" t="s">
        <v>1517</v>
      </c>
      <c r="D427" t="s">
        <v>1518</v>
      </c>
      <c r="E427">
        <v>1</v>
      </c>
      <c r="F427" t="s">
        <v>1519</v>
      </c>
      <c r="G427" t="s">
        <v>1444</v>
      </c>
      <c r="H427" t="s">
        <v>1517</v>
      </c>
    </row>
    <row r="428" spans="1:8">
      <c r="A428" t="str">
        <f>"0220103 "</f>
        <v xml:space="preserve">0220103 </v>
      </c>
      <c r="B428" t="s">
        <v>1444</v>
      </c>
      <c r="C428" t="s">
        <v>1520</v>
      </c>
      <c r="D428" t="s">
        <v>1521</v>
      </c>
      <c r="E428" t="s">
        <v>20</v>
      </c>
      <c r="F428" t="s">
        <v>1522</v>
      </c>
      <c r="G428" t="s">
        <v>1444</v>
      </c>
      <c r="H428" t="s">
        <v>1520</v>
      </c>
    </row>
    <row r="429" spans="1:8">
      <c r="A429" t="str">
        <f>"0220104 "</f>
        <v xml:space="preserve">0220104 </v>
      </c>
      <c r="B429" t="s">
        <v>1444</v>
      </c>
      <c r="C429" t="s">
        <v>1523</v>
      </c>
      <c r="D429" t="s">
        <v>1524</v>
      </c>
      <c r="E429">
        <v>2</v>
      </c>
      <c r="F429" t="s">
        <v>1525</v>
      </c>
      <c r="G429" t="s">
        <v>1444</v>
      </c>
      <c r="H429" t="s">
        <v>1523</v>
      </c>
    </row>
    <row r="430" spans="1:8">
      <c r="A430" t="str">
        <f>"0033877 "</f>
        <v xml:space="preserve">0033877 </v>
      </c>
      <c r="B430" t="s">
        <v>1444</v>
      </c>
      <c r="C430" t="s">
        <v>1526</v>
      </c>
      <c r="D430" t="s">
        <v>1527</v>
      </c>
      <c r="E430" t="s">
        <v>20</v>
      </c>
      <c r="F430" t="s">
        <v>1528</v>
      </c>
      <c r="G430" t="s">
        <v>1444</v>
      </c>
      <c r="H430" t="s">
        <v>1526</v>
      </c>
    </row>
    <row r="431" spans="1:8">
      <c r="A431" t="str">
        <f>"0035738 "</f>
        <v xml:space="preserve">0035738 </v>
      </c>
      <c r="B431" t="s">
        <v>1444</v>
      </c>
      <c r="C431" t="s">
        <v>1529</v>
      </c>
      <c r="D431" t="s">
        <v>1530</v>
      </c>
      <c r="E431" t="s">
        <v>20</v>
      </c>
      <c r="F431" t="s">
        <v>1531</v>
      </c>
      <c r="G431" t="s">
        <v>1444</v>
      </c>
      <c r="H431" t="s">
        <v>1529</v>
      </c>
    </row>
    <row r="432" spans="1:8">
      <c r="A432" t="str">
        <f>"0033835 "</f>
        <v xml:space="preserve">0033835 </v>
      </c>
      <c r="B432" t="s">
        <v>1444</v>
      </c>
      <c r="C432" t="s">
        <v>1532</v>
      </c>
      <c r="D432" t="s">
        <v>1533</v>
      </c>
      <c r="E432">
        <v>2</v>
      </c>
      <c r="F432" t="s">
        <v>1534</v>
      </c>
      <c r="G432" t="s">
        <v>1444</v>
      </c>
      <c r="H432" t="s">
        <v>1532</v>
      </c>
    </row>
    <row r="433" spans="1:9">
      <c r="A433" t="str">
        <f>"0158708 "</f>
        <v xml:space="preserve">0158708 </v>
      </c>
      <c r="B433" t="s">
        <v>1444</v>
      </c>
      <c r="C433" t="s">
        <v>1535</v>
      </c>
      <c r="D433" t="s">
        <v>1536</v>
      </c>
      <c r="E433">
        <v>1</v>
      </c>
      <c r="F433" t="s">
        <v>1537</v>
      </c>
      <c r="G433" t="s">
        <v>1444</v>
      </c>
      <c r="H433" t="s">
        <v>1535</v>
      </c>
    </row>
    <row r="434" spans="1:9">
      <c r="A434" t="str">
        <f>"0160960 "</f>
        <v xml:space="preserve">0160960 </v>
      </c>
      <c r="B434" t="s">
        <v>1444</v>
      </c>
      <c r="C434" t="s">
        <v>1538</v>
      </c>
      <c r="D434" t="s">
        <v>1539</v>
      </c>
      <c r="E434" t="s">
        <v>20</v>
      </c>
      <c r="F434" t="s">
        <v>1540</v>
      </c>
      <c r="G434" t="s">
        <v>1444</v>
      </c>
      <c r="H434" t="s">
        <v>1538</v>
      </c>
    </row>
    <row r="435" spans="1:9">
      <c r="A435" t="str">
        <f>"0160961 "</f>
        <v xml:space="preserve">0160961 </v>
      </c>
      <c r="B435" t="s">
        <v>1444</v>
      </c>
      <c r="C435" t="s">
        <v>1541</v>
      </c>
      <c r="D435" t="s">
        <v>1542</v>
      </c>
      <c r="E435" t="s">
        <v>20</v>
      </c>
      <c r="F435" t="s">
        <v>1543</v>
      </c>
      <c r="G435" t="s">
        <v>1444</v>
      </c>
      <c r="H435" t="s">
        <v>1541</v>
      </c>
    </row>
    <row r="436" spans="1:9">
      <c r="A436" t="str">
        <f>"0160962 "</f>
        <v xml:space="preserve">0160962 </v>
      </c>
      <c r="B436" t="s">
        <v>1444</v>
      </c>
      <c r="C436" t="s">
        <v>1544</v>
      </c>
      <c r="D436" t="s">
        <v>1545</v>
      </c>
      <c r="E436">
        <v>5</v>
      </c>
      <c r="F436" t="s">
        <v>1546</v>
      </c>
      <c r="G436" t="s">
        <v>1444</v>
      </c>
      <c r="H436" t="s">
        <v>1544</v>
      </c>
    </row>
    <row r="437" spans="1:9">
      <c r="A437" t="str">
        <f>"0160963 "</f>
        <v xml:space="preserve">0160963 </v>
      </c>
      <c r="B437" t="s">
        <v>1444</v>
      </c>
      <c r="C437" t="s">
        <v>1547</v>
      </c>
      <c r="D437" t="s">
        <v>1548</v>
      </c>
      <c r="E437">
        <v>3</v>
      </c>
      <c r="F437" t="s">
        <v>1549</v>
      </c>
      <c r="G437" t="s">
        <v>1444</v>
      </c>
      <c r="H437" t="s">
        <v>1547</v>
      </c>
    </row>
    <row r="438" spans="1:9">
      <c r="A438" t="str">
        <f>"0160964 "</f>
        <v xml:space="preserve">0160964 </v>
      </c>
      <c r="B438" t="s">
        <v>1444</v>
      </c>
      <c r="C438" t="s">
        <v>1550</v>
      </c>
      <c r="D438" t="s">
        <v>1551</v>
      </c>
      <c r="E438" t="s">
        <v>20</v>
      </c>
      <c r="F438" t="s">
        <v>1552</v>
      </c>
      <c r="G438" t="s">
        <v>1444</v>
      </c>
      <c r="H438" t="s">
        <v>1550</v>
      </c>
    </row>
    <row r="439" spans="1:9">
      <c r="A439" t="str">
        <f>"0201438 "</f>
        <v xml:space="preserve">0201438 </v>
      </c>
      <c r="B439" t="s">
        <v>1444</v>
      </c>
      <c r="C439" t="s">
        <v>1553</v>
      </c>
      <c r="D439" t="s">
        <v>1554</v>
      </c>
      <c r="E439">
        <v>1</v>
      </c>
      <c r="F439" t="s">
        <v>1555</v>
      </c>
      <c r="G439" t="s">
        <v>1444</v>
      </c>
      <c r="H439" t="s">
        <v>1553</v>
      </c>
    </row>
    <row r="440" spans="1:9">
      <c r="A440" t="str">
        <f>"0160965 "</f>
        <v xml:space="preserve">0160965 </v>
      </c>
      <c r="B440" t="s">
        <v>1444</v>
      </c>
      <c r="C440" t="s">
        <v>1556</v>
      </c>
      <c r="D440" t="s">
        <v>1557</v>
      </c>
      <c r="E440">
        <v>4</v>
      </c>
      <c r="F440" t="s">
        <v>1558</v>
      </c>
      <c r="G440" t="s">
        <v>1444</v>
      </c>
      <c r="H440" t="s">
        <v>1556</v>
      </c>
    </row>
    <row r="441" spans="1:9">
      <c r="A441" t="str">
        <f>"0050938 "</f>
        <v xml:space="preserve">0050938 </v>
      </c>
      <c r="B441" t="s">
        <v>1559</v>
      </c>
      <c r="C441" t="str">
        <f>"0050938"</f>
        <v>0050938</v>
      </c>
      <c r="D441" t="s">
        <v>1560</v>
      </c>
      <c r="E441" t="s">
        <v>20</v>
      </c>
      <c r="F441" t="s">
        <v>1561</v>
      </c>
      <c r="G441" t="s">
        <v>1559</v>
      </c>
      <c r="H441" t="str">
        <f>"0050938"</f>
        <v>0050938</v>
      </c>
    </row>
    <row r="442" spans="1:9">
      <c r="A442" t="str">
        <f>"0090526 "</f>
        <v xml:space="preserve">0090526 </v>
      </c>
      <c r="B442" t="s">
        <v>1559</v>
      </c>
      <c r="C442" t="str">
        <f>"0090526"</f>
        <v>0090526</v>
      </c>
      <c r="D442" t="s">
        <v>1562</v>
      </c>
      <c r="E442" t="s">
        <v>20</v>
      </c>
      <c r="F442" t="s">
        <v>1563</v>
      </c>
      <c r="G442" t="s">
        <v>1559</v>
      </c>
      <c r="H442" t="str">
        <f>"0090526"</f>
        <v>0090526</v>
      </c>
    </row>
    <row r="443" spans="1:9">
      <c r="A443" t="str">
        <f>"0050901 "</f>
        <v xml:space="preserve">0050901 </v>
      </c>
      <c r="B443" t="s">
        <v>1559</v>
      </c>
      <c r="C443" t="s">
        <v>1564</v>
      </c>
      <c r="D443" t="s">
        <v>1565</v>
      </c>
      <c r="E443" t="s">
        <v>20</v>
      </c>
      <c r="F443" t="s">
        <v>1566</v>
      </c>
      <c r="G443" t="s">
        <v>1559</v>
      </c>
      <c r="H443" t="s">
        <v>1564</v>
      </c>
    </row>
    <row r="444" spans="1:9">
      <c r="A444" t="str">
        <f>"0102293 "</f>
        <v xml:space="preserve">0102293 </v>
      </c>
      <c r="B444" t="s">
        <v>1567</v>
      </c>
      <c r="C444" t="s">
        <v>1568</v>
      </c>
      <c r="D444" t="s">
        <v>1569</v>
      </c>
      <c r="E444">
        <v>1</v>
      </c>
      <c r="F444" t="s">
        <v>1570</v>
      </c>
      <c r="G444" t="s">
        <v>1567</v>
      </c>
      <c r="H444" t="s">
        <v>1568</v>
      </c>
      <c r="I444" t="s">
        <v>1571</v>
      </c>
    </row>
    <row r="445" spans="1:9">
      <c r="A445" t="str">
        <f>"0102338 "</f>
        <v xml:space="preserve">0102338 </v>
      </c>
      <c r="B445" t="s">
        <v>1567</v>
      </c>
      <c r="C445" t="s">
        <v>1572</v>
      </c>
      <c r="D445" t="s">
        <v>1573</v>
      </c>
      <c r="E445">
        <v>1</v>
      </c>
      <c r="F445" t="s">
        <v>1574</v>
      </c>
      <c r="G445" t="s">
        <v>1567</v>
      </c>
      <c r="H445" t="s">
        <v>1572</v>
      </c>
      <c r="I445" t="s">
        <v>1575</v>
      </c>
    </row>
    <row r="446" spans="1:9">
      <c r="A446" t="str">
        <f>"0102353 "</f>
        <v xml:space="preserve">0102353 </v>
      </c>
      <c r="B446" t="s">
        <v>1567</v>
      </c>
      <c r="C446" t="s">
        <v>1576</v>
      </c>
      <c r="D446" t="s">
        <v>1577</v>
      </c>
      <c r="E446">
        <v>4</v>
      </c>
      <c r="F446" t="s">
        <v>1578</v>
      </c>
      <c r="G446" t="s">
        <v>1567</v>
      </c>
      <c r="H446" t="s">
        <v>1576</v>
      </c>
      <c r="I446" t="s">
        <v>1579</v>
      </c>
    </row>
    <row r="447" spans="1:9">
      <c r="A447" t="str">
        <f>"0102354 "</f>
        <v xml:space="preserve">0102354 </v>
      </c>
      <c r="B447" t="s">
        <v>1567</v>
      </c>
      <c r="C447" t="s">
        <v>1580</v>
      </c>
      <c r="D447" t="s">
        <v>1581</v>
      </c>
      <c r="E447">
        <v>1</v>
      </c>
      <c r="F447" t="s">
        <v>1582</v>
      </c>
      <c r="G447" t="s">
        <v>1567</v>
      </c>
      <c r="H447" t="s">
        <v>1580</v>
      </c>
      <c r="I447" t="s">
        <v>1583</v>
      </c>
    </row>
    <row r="448" spans="1:9">
      <c r="A448" t="str">
        <f>"0102361 "</f>
        <v xml:space="preserve">0102361 </v>
      </c>
      <c r="B448" t="s">
        <v>1567</v>
      </c>
      <c r="C448" t="s">
        <v>1584</v>
      </c>
      <c r="D448" t="s">
        <v>1585</v>
      </c>
      <c r="E448">
        <v>1</v>
      </c>
      <c r="F448" t="s">
        <v>1586</v>
      </c>
      <c r="G448" t="s">
        <v>1567</v>
      </c>
      <c r="H448" t="s">
        <v>1584</v>
      </c>
      <c r="I448" t="s">
        <v>1587</v>
      </c>
    </row>
    <row r="449" spans="1:9">
      <c r="A449" t="str">
        <f>"0102370 "</f>
        <v xml:space="preserve">0102370 </v>
      </c>
      <c r="B449" t="s">
        <v>1567</v>
      </c>
      <c r="C449" t="s">
        <v>1588</v>
      </c>
      <c r="D449" t="s">
        <v>1589</v>
      </c>
      <c r="E449">
        <v>2</v>
      </c>
      <c r="F449" t="s">
        <v>1590</v>
      </c>
      <c r="G449" t="s">
        <v>1567</v>
      </c>
      <c r="H449" t="s">
        <v>1588</v>
      </c>
      <c r="I449" t="s">
        <v>1591</v>
      </c>
    </row>
    <row r="450" spans="1:9">
      <c r="A450" t="str">
        <f>"0102375 "</f>
        <v xml:space="preserve">0102375 </v>
      </c>
      <c r="B450" t="s">
        <v>1567</v>
      </c>
      <c r="C450" t="s">
        <v>1592</v>
      </c>
      <c r="D450" t="s">
        <v>1593</v>
      </c>
      <c r="E450">
        <v>1</v>
      </c>
      <c r="F450" t="s">
        <v>1594</v>
      </c>
      <c r="G450" t="s">
        <v>1567</v>
      </c>
      <c r="H450" t="s">
        <v>1592</v>
      </c>
      <c r="I450" t="s">
        <v>1595</v>
      </c>
    </row>
    <row r="451" spans="1:9">
      <c r="A451" t="str">
        <f>"0102404 "</f>
        <v xml:space="preserve">0102404 </v>
      </c>
      <c r="B451" t="s">
        <v>1567</v>
      </c>
      <c r="C451" t="s">
        <v>1596</v>
      </c>
      <c r="D451" t="s">
        <v>1597</v>
      </c>
      <c r="E451">
        <v>1</v>
      </c>
      <c r="F451" t="s">
        <v>1598</v>
      </c>
      <c r="G451" t="s">
        <v>1567</v>
      </c>
      <c r="H451" t="s">
        <v>1596</v>
      </c>
      <c r="I451" t="s">
        <v>1599</v>
      </c>
    </row>
    <row r="452" spans="1:9">
      <c r="A452" t="str">
        <f>"0102405 "</f>
        <v xml:space="preserve">0102405 </v>
      </c>
      <c r="B452" t="s">
        <v>1567</v>
      </c>
      <c r="C452" t="s">
        <v>1600</v>
      </c>
      <c r="D452" t="s">
        <v>1601</v>
      </c>
      <c r="E452">
        <v>5</v>
      </c>
      <c r="F452" t="s">
        <v>1602</v>
      </c>
      <c r="G452" t="s">
        <v>1567</v>
      </c>
      <c r="H452" t="s">
        <v>1600</v>
      </c>
      <c r="I452" t="s">
        <v>1603</v>
      </c>
    </row>
    <row r="453" spans="1:9">
      <c r="A453" t="str">
        <f>"0102406 "</f>
        <v xml:space="preserve">0102406 </v>
      </c>
      <c r="B453" t="s">
        <v>1567</v>
      </c>
      <c r="C453" t="s">
        <v>1604</v>
      </c>
      <c r="D453" t="s">
        <v>1605</v>
      </c>
      <c r="E453">
        <v>1</v>
      </c>
      <c r="F453" t="s">
        <v>1606</v>
      </c>
      <c r="G453" t="s">
        <v>1567</v>
      </c>
      <c r="H453" t="s">
        <v>1604</v>
      </c>
      <c r="I453" t="s">
        <v>1607</v>
      </c>
    </row>
    <row r="454" spans="1:9">
      <c r="A454" t="str">
        <f>"0102409 "</f>
        <v xml:space="preserve">0102409 </v>
      </c>
      <c r="B454" t="s">
        <v>1567</v>
      </c>
      <c r="C454" t="s">
        <v>1608</v>
      </c>
      <c r="D454" t="s">
        <v>1609</v>
      </c>
      <c r="E454" t="s">
        <v>20</v>
      </c>
      <c r="F454" t="s">
        <v>1610</v>
      </c>
      <c r="G454" t="s">
        <v>1567</v>
      </c>
      <c r="H454" t="s">
        <v>1608</v>
      </c>
      <c r="I454" t="s">
        <v>1611</v>
      </c>
    </row>
    <row r="455" spans="1:9">
      <c r="A455" t="str">
        <f>"0102411 "</f>
        <v xml:space="preserve">0102411 </v>
      </c>
      <c r="B455" t="s">
        <v>1567</v>
      </c>
      <c r="C455" t="s">
        <v>1612</v>
      </c>
      <c r="D455" t="s">
        <v>1613</v>
      </c>
      <c r="E455">
        <v>2</v>
      </c>
      <c r="F455" t="s">
        <v>1614</v>
      </c>
      <c r="G455" t="s">
        <v>1567</v>
      </c>
      <c r="H455" t="s">
        <v>1612</v>
      </c>
      <c r="I455" t="e">
        <f>OX345DEco  MERCEDES 'W202'/'W203'/'W210'/'W211'/'W220'/'W163' mot.M112/'M113'</f>
        <v>#NAME?</v>
      </c>
    </row>
    <row r="456" spans="1:9">
      <c r="A456" t="str">
        <f>"0102423 "</f>
        <v xml:space="preserve">0102423 </v>
      </c>
      <c r="B456" t="s">
        <v>1567</v>
      </c>
      <c r="C456" t="s">
        <v>1615</v>
      </c>
      <c r="D456" t="s">
        <v>1616</v>
      </c>
      <c r="E456">
        <v>1</v>
      </c>
      <c r="F456" t="s">
        <v>1617</v>
      </c>
      <c r="G456" t="s">
        <v>1567</v>
      </c>
      <c r="H456" t="s">
        <v>1615</v>
      </c>
      <c r="I456" t="s">
        <v>1618</v>
      </c>
    </row>
    <row r="457" spans="1:9">
      <c r="A457" t="str">
        <f>"0102426 "</f>
        <v xml:space="preserve">0102426 </v>
      </c>
      <c r="B457" t="s">
        <v>1567</v>
      </c>
      <c r="C457" t="s">
        <v>1619</v>
      </c>
      <c r="D457" t="s">
        <v>1620</v>
      </c>
      <c r="E457">
        <v>2</v>
      </c>
      <c r="F457" t="s">
        <v>1621</v>
      </c>
      <c r="G457" t="s">
        <v>1567</v>
      </c>
      <c r="H457" t="s">
        <v>1619</v>
      </c>
      <c r="I457" t="s">
        <v>1622</v>
      </c>
    </row>
    <row r="458" spans="1:9">
      <c r="A458" t="str">
        <f>"0102430 "</f>
        <v xml:space="preserve">0102430 </v>
      </c>
      <c r="B458" t="s">
        <v>1567</v>
      </c>
      <c r="C458" t="s">
        <v>1623</v>
      </c>
      <c r="D458" t="s">
        <v>1624</v>
      </c>
      <c r="E458">
        <v>2</v>
      </c>
      <c r="F458" t="s">
        <v>1625</v>
      </c>
      <c r="G458" t="s">
        <v>1567</v>
      </c>
      <c r="H458" t="s">
        <v>1623</v>
      </c>
      <c r="I458" t="s">
        <v>1626</v>
      </c>
    </row>
    <row r="459" spans="1:9">
      <c r="A459" t="str">
        <f>"0102443 "</f>
        <v xml:space="preserve">0102443 </v>
      </c>
      <c r="B459" t="s">
        <v>1567</v>
      </c>
      <c r="C459" t="s">
        <v>1627</v>
      </c>
      <c r="D459" t="s">
        <v>1628</v>
      </c>
      <c r="E459">
        <v>2</v>
      </c>
      <c r="F459" t="s">
        <v>1629</v>
      </c>
      <c r="G459" t="s">
        <v>1567</v>
      </c>
      <c r="H459" t="s">
        <v>1627</v>
      </c>
      <c r="I459" t="s">
        <v>1630</v>
      </c>
    </row>
    <row r="460" spans="1:9">
      <c r="A460" t="str">
        <f>"0102444 "</f>
        <v xml:space="preserve">0102444 </v>
      </c>
      <c r="B460" t="s">
        <v>1567</v>
      </c>
      <c r="C460" t="s">
        <v>1631</v>
      </c>
      <c r="D460" t="s">
        <v>1632</v>
      </c>
      <c r="E460">
        <v>4</v>
      </c>
      <c r="F460" t="s">
        <v>1633</v>
      </c>
      <c r="G460" t="s">
        <v>1567</v>
      </c>
      <c r="H460" t="s">
        <v>1631</v>
      </c>
      <c r="I460" t="s">
        <v>1634</v>
      </c>
    </row>
    <row r="461" spans="1:9">
      <c r="A461" t="str">
        <f>"0102445 "</f>
        <v xml:space="preserve">0102445 </v>
      </c>
      <c r="B461" t="s">
        <v>1567</v>
      </c>
      <c r="C461" t="s">
        <v>1635</v>
      </c>
      <c r="D461" t="s">
        <v>1636</v>
      </c>
      <c r="E461">
        <v>1</v>
      </c>
      <c r="F461" t="s">
        <v>1637</v>
      </c>
      <c r="G461" t="s">
        <v>1567</v>
      </c>
      <c r="H461" t="s">
        <v>1635</v>
      </c>
      <c r="I461" t="s">
        <v>1638</v>
      </c>
    </row>
    <row r="462" spans="1:9">
      <c r="A462" t="str">
        <f>"0102454 "</f>
        <v xml:space="preserve">0102454 </v>
      </c>
      <c r="B462" t="s">
        <v>1567</v>
      </c>
      <c r="C462" t="s">
        <v>1639</v>
      </c>
      <c r="D462" t="s">
        <v>1640</v>
      </c>
      <c r="E462">
        <v>1</v>
      </c>
      <c r="F462" t="s">
        <v>1641</v>
      </c>
      <c r="G462" t="s">
        <v>1567</v>
      </c>
      <c r="H462" t="s">
        <v>1639</v>
      </c>
      <c r="I462" t="s">
        <v>1642</v>
      </c>
    </row>
    <row r="463" spans="1:9">
      <c r="A463" t="str">
        <f>"0102455 "</f>
        <v xml:space="preserve">0102455 </v>
      </c>
      <c r="B463" t="s">
        <v>1567</v>
      </c>
      <c r="C463" t="s">
        <v>1643</v>
      </c>
      <c r="D463" t="s">
        <v>1644</v>
      </c>
      <c r="E463">
        <v>1</v>
      </c>
      <c r="F463" t="s">
        <v>1645</v>
      </c>
      <c r="G463" t="s">
        <v>1567</v>
      </c>
      <c r="H463" t="s">
        <v>1643</v>
      </c>
      <c r="I463" t="s">
        <v>1646</v>
      </c>
    </row>
    <row r="464" spans="1:9">
      <c r="A464" t="str">
        <f>"0102457 "</f>
        <v xml:space="preserve">0102457 </v>
      </c>
      <c r="B464" t="s">
        <v>1567</v>
      </c>
      <c r="C464" t="s">
        <v>1647</v>
      </c>
      <c r="D464" t="s">
        <v>1648</v>
      </c>
      <c r="E464" t="s">
        <v>20</v>
      </c>
      <c r="F464" t="s">
        <v>1649</v>
      </c>
      <c r="G464" t="s">
        <v>1567</v>
      </c>
      <c r="H464" t="s">
        <v>1647</v>
      </c>
      <c r="I464" t="s">
        <v>1650</v>
      </c>
    </row>
    <row r="465" spans="1:9">
      <c r="A465" t="str">
        <f>"0102468 "</f>
        <v xml:space="preserve">0102468 </v>
      </c>
      <c r="B465" t="s">
        <v>1567</v>
      </c>
      <c r="C465" t="s">
        <v>1651</v>
      </c>
      <c r="D465" t="s">
        <v>1652</v>
      </c>
      <c r="E465">
        <v>2</v>
      </c>
      <c r="F465" t="s">
        <v>1653</v>
      </c>
      <c r="G465" t="s">
        <v>1567</v>
      </c>
      <c r="H465" t="s">
        <v>1651</v>
      </c>
      <c r="I465" t="s">
        <v>1654</v>
      </c>
    </row>
    <row r="466" spans="1:9">
      <c r="A466" t="str">
        <f>"0102471 "</f>
        <v xml:space="preserve">0102471 </v>
      </c>
      <c r="B466" t="s">
        <v>1567</v>
      </c>
      <c r="C466" t="s">
        <v>1655</v>
      </c>
      <c r="D466" t="s">
        <v>1656</v>
      </c>
      <c r="E466">
        <v>1</v>
      </c>
      <c r="F466" t="s">
        <v>1657</v>
      </c>
      <c r="G466" t="s">
        <v>1567</v>
      </c>
      <c r="H466" t="s">
        <v>1655</v>
      </c>
      <c r="I466" t="s">
        <v>1658</v>
      </c>
    </row>
    <row r="467" spans="1:9">
      <c r="A467" t="str">
        <f>"0102483 "</f>
        <v xml:space="preserve">0102483 </v>
      </c>
      <c r="B467" t="s">
        <v>1567</v>
      </c>
      <c r="C467" t="s">
        <v>1659</v>
      </c>
      <c r="D467" t="s">
        <v>1660</v>
      </c>
      <c r="E467">
        <v>1</v>
      </c>
      <c r="F467" t="s">
        <v>1641</v>
      </c>
      <c r="G467" t="s">
        <v>1567</v>
      </c>
      <c r="H467" t="s">
        <v>1659</v>
      </c>
      <c r="I467" t="s">
        <v>1661</v>
      </c>
    </row>
    <row r="468" spans="1:9">
      <c r="A468" t="str">
        <f>"0102485 "</f>
        <v xml:space="preserve">0102485 </v>
      </c>
      <c r="B468" t="s">
        <v>1567</v>
      </c>
      <c r="C468" t="s">
        <v>1662</v>
      </c>
      <c r="D468" t="s">
        <v>1663</v>
      </c>
      <c r="E468">
        <v>5</v>
      </c>
      <c r="F468" t="s">
        <v>1664</v>
      </c>
      <c r="G468" t="s">
        <v>1567</v>
      </c>
      <c r="H468" t="s">
        <v>1662</v>
      </c>
      <c r="I468" t="s">
        <v>1665</v>
      </c>
    </row>
    <row r="469" spans="1:9">
      <c r="A469" t="str">
        <f>"0102519 "</f>
        <v xml:space="preserve">0102519 </v>
      </c>
      <c r="B469" t="s">
        <v>1567</v>
      </c>
      <c r="C469" t="s">
        <v>1666</v>
      </c>
      <c r="D469" t="s">
        <v>1667</v>
      </c>
      <c r="E469">
        <v>1</v>
      </c>
      <c r="F469" t="s">
        <v>1617</v>
      </c>
      <c r="G469" t="s">
        <v>1567</v>
      </c>
      <c r="H469" t="s">
        <v>1666</v>
      </c>
      <c r="I469" t="s">
        <v>1668</v>
      </c>
    </row>
    <row r="470" spans="1:9">
      <c r="A470" t="str">
        <f>"0102616 "</f>
        <v xml:space="preserve">0102616 </v>
      </c>
      <c r="B470" t="s">
        <v>1567</v>
      </c>
      <c r="C470" t="s">
        <v>1669</v>
      </c>
      <c r="D470" t="s">
        <v>1670</v>
      </c>
      <c r="E470">
        <v>2</v>
      </c>
      <c r="F470" t="s">
        <v>1598</v>
      </c>
      <c r="G470" t="s">
        <v>1567</v>
      </c>
      <c r="H470" t="s">
        <v>1669</v>
      </c>
      <c r="I470" t="s">
        <v>1671</v>
      </c>
    </row>
    <row r="471" spans="1:9">
      <c r="A471" t="str">
        <f>"0102632 "</f>
        <v xml:space="preserve">0102632 </v>
      </c>
      <c r="B471" t="s">
        <v>1567</v>
      </c>
      <c r="C471" t="s">
        <v>1672</v>
      </c>
      <c r="D471" t="s">
        <v>1673</v>
      </c>
      <c r="E471">
        <v>2</v>
      </c>
      <c r="F471" t="s">
        <v>1674</v>
      </c>
      <c r="G471" t="s">
        <v>1567</v>
      </c>
      <c r="H471" t="s">
        <v>1672</v>
      </c>
      <c r="I471" t="s">
        <v>1675</v>
      </c>
    </row>
    <row r="472" spans="1:9">
      <c r="A472" t="str">
        <f>"0102633 "</f>
        <v xml:space="preserve">0102633 </v>
      </c>
      <c r="B472" t="s">
        <v>1567</v>
      </c>
      <c r="C472" t="s">
        <v>1676</v>
      </c>
      <c r="D472" t="s">
        <v>1677</v>
      </c>
      <c r="E472">
        <v>2</v>
      </c>
      <c r="F472" t="s">
        <v>1678</v>
      </c>
      <c r="G472" t="s">
        <v>1567</v>
      </c>
      <c r="H472" t="s">
        <v>1676</v>
      </c>
      <c r="I472" t="s">
        <v>1679</v>
      </c>
    </row>
    <row r="473" spans="1:9">
      <c r="A473" t="str">
        <f>"0102634 "</f>
        <v xml:space="preserve">0102634 </v>
      </c>
      <c r="B473" t="s">
        <v>1567</v>
      </c>
      <c r="C473" t="s">
        <v>1680</v>
      </c>
      <c r="D473" t="s">
        <v>1681</v>
      </c>
      <c r="E473">
        <v>1</v>
      </c>
      <c r="F473" t="s">
        <v>1682</v>
      </c>
      <c r="G473" t="s">
        <v>1567</v>
      </c>
      <c r="H473" t="s">
        <v>1680</v>
      </c>
      <c r="I473" t="s">
        <v>1683</v>
      </c>
    </row>
    <row r="474" spans="1:9">
      <c r="A474" t="str">
        <f>"0102636 "</f>
        <v xml:space="preserve">0102636 </v>
      </c>
      <c r="B474" t="s">
        <v>1567</v>
      </c>
      <c r="C474" t="s">
        <v>1684</v>
      </c>
      <c r="D474" t="s">
        <v>1685</v>
      </c>
      <c r="E474">
        <v>1</v>
      </c>
      <c r="F474" t="s">
        <v>1686</v>
      </c>
      <c r="G474" t="s">
        <v>1567</v>
      </c>
      <c r="H474" t="s">
        <v>1684</v>
      </c>
      <c r="I474" t="s">
        <v>1687</v>
      </c>
    </row>
    <row r="475" spans="1:9">
      <c r="A475" t="str">
        <f>"0102640 "</f>
        <v xml:space="preserve">0102640 </v>
      </c>
      <c r="B475" t="s">
        <v>1567</v>
      </c>
      <c r="C475" t="s">
        <v>1688</v>
      </c>
      <c r="D475" t="s">
        <v>1689</v>
      </c>
      <c r="E475">
        <v>1</v>
      </c>
      <c r="F475" t="s">
        <v>1690</v>
      </c>
      <c r="G475" t="s">
        <v>1567</v>
      </c>
      <c r="H475" t="s">
        <v>1688</v>
      </c>
      <c r="I475" t="s">
        <v>1691</v>
      </c>
    </row>
    <row r="476" spans="1:9">
      <c r="A476" t="str">
        <f>"0102690 "</f>
        <v xml:space="preserve">0102690 </v>
      </c>
      <c r="B476" t="s">
        <v>1567</v>
      </c>
      <c r="C476" t="s">
        <v>1692</v>
      </c>
      <c r="D476" t="s">
        <v>1693</v>
      </c>
      <c r="E476">
        <v>2</v>
      </c>
      <c r="F476" t="s">
        <v>1694</v>
      </c>
      <c r="G476" t="s">
        <v>1567</v>
      </c>
      <c r="H476" t="s">
        <v>1692</v>
      </c>
      <c r="I476" t="s">
        <v>1695</v>
      </c>
    </row>
    <row r="477" spans="1:9">
      <c r="A477" t="str">
        <f>"0102697 "</f>
        <v xml:space="preserve">0102697 </v>
      </c>
      <c r="B477" t="s">
        <v>1567</v>
      </c>
      <c r="C477" t="s">
        <v>1696</v>
      </c>
      <c r="D477" t="s">
        <v>1697</v>
      </c>
      <c r="E477">
        <v>2</v>
      </c>
      <c r="F477" t="s">
        <v>1698</v>
      </c>
      <c r="G477" t="s">
        <v>1567</v>
      </c>
      <c r="H477" t="s">
        <v>1696</v>
      </c>
      <c r="I477" t="s">
        <v>1699</v>
      </c>
    </row>
    <row r="478" spans="1:9">
      <c r="A478" t="str">
        <f>"0102706 "</f>
        <v xml:space="preserve">0102706 </v>
      </c>
      <c r="B478" t="s">
        <v>1567</v>
      </c>
      <c r="C478" t="s">
        <v>1700</v>
      </c>
      <c r="D478" t="s">
        <v>1701</v>
      </c>
      <c r="E478">
        <v>2</v>
      </c>
      <c r="F478" t="s">
        <v>1702</v>
      </c>
      <c r="G478" t="s">
        <v>1567</v>
      </c>
      <c r="H478" t="s">
        <v>1700</v>
      </c>
      <c r="I478" t="s">
        <v>1703</v>
      </c>
    </row>
    <row r="479" spans="1:9">
      <c r="A479" t="str">
        <f>"0102730 "</f>
        <v xml:space="preserve">0102730 </v>
      </c>
      <c r="B479" t="s">
        <v>1567</v>
      </c>
      <c r="C479" t="s">
        <v>1704</v>
      </c>
      <c r="D479" t="s">
        <v>1705</v>
      </c>
      <c r="E479">
        <v>1</v>
      </c>
      <c r="F479" t="s">
        <v>1706</v>
      </c>
      <c r="G479" t="s">
        <v>1567</v>
      </c>
      <c r="H479" t="s">
        <v>1704</v>
      </c>
      <c r="I479" t="s">
        <v>1707</v>
      </c>
    </row>
    <row r="480" spans="1:9">
      <c r="A480" t="str">
        <f>"0102744 "</f>
        <v xml:space="preserve">0102744 </v>
      </c>
      <c r="B480" t="s">
        <v>1567</v>
      </c>
      <c r="C480" t="s">
        <v>1708</v>
      </c>
      <c r="D480" t="s">
        <v>1709</v>
      </c>
      <c r="E480">
        <v>1</v>
      </c>
      <c r="F480" t="s">
        <v>1710</v>
      </c>
      <c r="G480" t="s">
        <v>1567</v>
      </c>
      <c r="H480" t="s">
        <v>1708</v>
      </c>
      <c r="I480" t="s">
        <v>1711</v>
      </c>
    </row>
    <row r="481" spans="1:9">
      <c r="A481" t="str">
        <f>"0102792 "</f>
        <v xml:space="preserve">0102792 </v>
      </c>
      <c r="B481" t="s">
        <v>1567</v>
      </c>
      <c r="C481" t="s">
        <v>1712</v>
      </c>
      <c r="D481" t="s">
        <v>1713</v>
      </c>
      <c r="E481">
        <v>1</v>
      </c>
      <c r="F481" t="s">
        <v>1714</v>
      </c>
      <c r="G481" t="s">
        <v>1567</v>
      </c>
      <c r="H481" t="s">
        <v>1712</v>
      </c>
      <c r="I481" t="s">
        <v>1715</v>
      </c>
    </row>
    <row r="482" spans="1:9">
      <c r="A482" t="str">
        <f>"0102823 "</f>
        <v xml:space="preserve">0102823 </v>
      </c>
      <c r="B482" t="s">
        <v>1567</v>
      </c>
      <c r="C482" t="s">
        <v>1716</v>
      </c>
      <c r="D482" t="s">
        <v>1717</v>
      </c>
      <c r="E482">
        <v>1</v>
      </c>
      <c r="F482" t="s">
        <v>1718</v>
      </c>
      <c r="G482" t="s">
        <v>1567</v>
      </c>
      <c r="H482" t="s">
        <v>1716</v>
      </c>
      <c r="I482" t="s">
        <v>1719</v>
      </c>
    </row>
    <row r="483" spans="1:9">
      <c r="A483" t="str">
        <f>"0102841 "</f>
        <v xml:space="preserve">0102841 </v>
      </c>
      <c r="B483" t="s">
        <v>1567</v>
      </c>
      <c r="C483" t="s">
        <v>1720</v>
      </c>
      <c r="D483" t="s">
        <v>1721</v>
      </c>
      <c r="E483">
        <v>1</v>
      </c>
      <c r="F483" t="s">
        <v>1722</v>
      </c>
      <c r="G483" t="s">
        <v>1567</v>
      </c>
      <c r="H483" t="s">
        <v>1720</v>
      </c>
      <c r="I483" t="s">
        <v>1723</v>
      </c>
    </row>
    <row r="484" spans="1:9">
      <c r="A484" t="str">
        <f>"0102846 "</f>
        <v xml:space="preserve">0102846 </v>
      </c>
      <c r="B484" t="s">
        <v>1567</v>
      </c>
      <c r="C484" t="s">
        <v>1724</v>
      </c>
      <c r="D484" t="s">
        <v>1725</v>
      </c>
      <c r="E484">
        <v>2</v>
      </c>
      <c r="F484" t="s">
        <v>1726</v>
      </c>
      <c r="G484" t="s">
        <v>1567</v>
      </c>
      <c r="H484" t="s">
        <v>1724</v>
      </c>
      <c r="I484" t="s">
        <v>1727</v>
      </c>
    </row>
    <row r="485" spans="1:9">
      <c r="A485" t="str">
        <f>"0102855 "</f>
        <v xml:space="preserve">0102855 </v>
      </c>
      <c r="B485" t="s">
        <v>1567</v>
      </c>
      <c r="C485" t="s">
        <v>1728</v>
      </c>
      <c r="D485" t="s">
        <v>1729</v>
      </c>
      <c r="E485">
        <v>1</v>
      </c>
      <c r="F485" t="s">
        <v>1730</v>
      </c>
      <c r="G485" t="s">
        <v>1567</v>
      </c>
      <c r="H485" t="s">
        <v>1728</v>
      </c>
      <c r="I485" t="s">
        <v>1731</v>
      </c>
    </row>
    <row r="486" spans="1:9">
      <c r="A486" t="str">
        <f>"0102893 "</f>
        <v xml:space="preserve">0102893 </v>
      </c>
      <c r="B486" t="s">
        <v>1567</v>
      </c>
      <c r="C486" t="s">
        <v>1732</v>
      </c>
      <c r="D486" t="s">
        <v>1733</v>
      </c>
      <c r="E486">
        <v>1</v>
      </c>
      <c r="F486" t="s">
        <v>1734</v>
      </c>
      <c r="G486" t="s">
        <v>1567</v>
      </c>
      <c r="H486" t="s">
        <v>1732</v>
      </c>
      <c r="I486" t="s">
        <v>1735</v>
      </c>
    </row>
    <row r="487" spans="1:9">
      <c r="A487" t="str">
        <f>"0102894 "</f>
        <v xml:space="preserve">0102894 </v>
      </c>
      <c r="B487" t="s">
        <v>1567</v>
      </c>
      <c r="C487" t="s">
        <v>1736</v>
      </c>
      <c r="D487" t="s">
        <v>1737</v>
      </c>
      <c r="E487">
        <v>4</v>
      </c>
      <c r="F487" t="s">
        <v>1738</v>
      </c>
      <c r="G487" t="s">
        <v>1567</v>
      </c>
      <c r="H487" t="s">
        <v>1736</v>
      </c>
      <c r="I487" t="s">
        <v>1739</v>
      </c>
    </row>
    <row r="488" spans="1:9">
      <c r="A488" t="str">
        <f>"0102906 "</f>
        <v xml:space="preserve">0102906 </v>
      </c>
      <c r="B488" t="s">
        <v>1567</v>
      </c>
      <c r="C488" t="s">
        <v>1740</v>
      </c>
      <c r="D488" t="s">
        <v>1741</v>
      </c>
      <c r="E488">
        <v>2</v>
      </c>
      <c r="F488" t="s">
        <v>1742</v>
      </c>
      <c r="G488" t="s">
        <v>1567</v>
      </c>
      <c r="H488" t="s">
        <v>1740</v>
      </c>
      <c r="I488" t="s">
        <v>1743</v>
      </c>
    </row>
    <row r="489" spans="1:9">
      <c r="A489" t="str">
        <f>"0102907 "</f>
        <v xml:space="preserve">0102907 </v>
      </c>
      <c r="B489" t="s">
        <v>1567</v>
      </c>
      <c r="C489" t="s">
        <v>1744</v>
      </c>
      <c r="D489" t="s">
        <v>1745</v>
      </c>
      <c r="E489">
        <v>2</v>
      </c>
      <c r="F489" t="s">
        <v>1746</v>
      </c>
      <c r="G489" t="s">
        <v>1567</v>
      </c>
      <c r="H489" t="s">
        <v>1744</v>
      </c>
      <c r="I489" t="s">
        <v>1747</v>
      </c>
    </row>
    <row r="490" spans="1:9">
      <c r="A490" t="str">
        <f>"0102910 "</f>
        <v xml:space="preserve">0102910 </v>
      </c>
      <c r="B490" t="s">
        <v>1567</v>
      </c>
      <c r="C490" t="s">
        <v>1748</v>
      </c>
      <c r="D490" t="s">
        <v>1749</v>
      </c>
      <c r="E490">
        <v>1</v>
      </c>
      <c r="F490" t="s">
        <v>1750</v>
      </c>
      <c r="G490" t="s">
        <v>1567</v>
      </c>
      <c r="H490" t="s">
        <v>1748</v>
      </c>
      <c r="I490" t="s">
        <v>1751</v>
      </c>
    </row>
    <row r="491" spans="1:9">
      <c r="A491" t="str">
        <f>"0102933 "</f>
        <v xml:space="preserve">0102933 </v>
      </c>
      <c r="B491" t="s">
        <v>1567</v>
      </c>
      <c r="C491" t="s">
        <v>1752</v>
      </c>
      <c r="D491" t="s">
        <v>1753</v>
      </c>
      <c r="E491">
        <v>4</v>
      </c>
      <c r="F491" t="s">
        <v>1754</v>
      </c>
      <c r="G491" t="s">
        <v>1567</v>
      </c>
      <c r="H491" t="s">
        <v>1752</v>
      </c>
      <c r="I491" t="s">
        <v>1755</v>
      </c>
    </row>
    <row r="492" spans="1:9">
      <c r="A492" t="str">
        <f>"0102946 "</f>
        <v xml:space="preserve">0102946 </v>
      </c>
      <c r="B492" t="s">
        <v>1567</v>
      </c>
      <c r="C492" t="s">
        <v>1756</v>
      </c>
      <c r="D492" t="s">
        <v>1757</v>
      </c>
      <c r="E492">
        <v>2</v>
      </c>
      <c r="F492" t="s">
        <v>1758</v>
      </c>
      <c r="G492" t="s">
        <v>1567</v>
      </c>
      <c r="H492" t="s">
        <v>1756</v>
      </c>
      <c r="I492" t="s">
        <v>1759</v>
      </c>
    </row>
    <row r="493" spans="1:9">
      <c r="A493" t="str">
        <f>"0102963 "</f>
        <v xml:space="preserve">0102963 </v>
      </c>
      <c r="B493" t="s">
        <v>1567</v>
      </c>
      <c r="C493" t="s">
        <v>1760</v>
      </c>
      <c r="D493" t="s">
        <v>1761</v>
      </c>
      <c r="E493">
        <v>1</v>
      </c>
      <c r="F493" t="s">
        <v>1690</v>
      </c>
      <c r="G493" t="s">
        <v>1567</v>
      </c>
      <c r="H493" t="s">
        <v>1760</v>
      </c>
      <c r="I493" t="s">
        <v>1762</v>
      </c>
    </row>
    <row r="494" spans="1:9">
      <c r="A494" t="str">
        <f>"0102984 "</f>
        <v xml:space="preserve">0102984 </v>
      </c>
      <c r="B494" t="s">
        <v>1567</v>
      </c>
      <c r="C494" t="s">
        <v>1763</v>
      </c>
      <c r="D494" t="s">
        <v>1764</v>
      </c>
      <c r="E494">
        <v>2</v>
      </c>
      <c r="F494" t="s">
        <v>1765</v>
      </c>
      <c r="G494" t="s">
        <v>1567</v>
      </c>
      <c r="H494" t="s">
        <v>1763</v>
      </c>
      <c r="I494" t="s">
        <v>1766</v>
      </c>
    </row>
    <row r="495" spans="1:9">
      <c r="A495" t="str">
        <f>"0102985 "</f>
        <v xml:space="preserve">0102985 </v>
      </c>
      <c r="B495" t="s">
        <v>1567</v>
      </c>
      <c r="C495" t="s">
        <v>1767</v>
      </c>
      <c r="D495" t="s">
        <v>1768</v>
      </c>
      <c r="E495">
        <v>2</v>
      </c>
      <c r="F495" t="s">
        <v>1769</v>
      </c>
      <c r="G495" t="s">
        <v>1567</v>
      </c>
      <c r="H495" t="s">
        <v>1767</v>
      </c>
      <c r="I495" t="s">
        <v>1770</v>
      </c>
    </row>
    <row r="496" spans="1:9">
      <c r="A496" t="str">
        <f>"0103011 "</f>
        <v xml:space="preserve">0103011 </v>
      </c>
      <c r="B496" t="s">
        <v>1567</v>
      </c>
      <c r="C496" t="s">
        <v>1771</v>
      </c>
      <c r="D496" t="s">
        <v>1772</v>
      </c>
      <c r="E496">
        <v>4</v>
      </c>
      <c r="F496" t="s">
        <v>1773</v>
      </c>
      <c r="G496" t="s">
        <v>1567</v>
      </c>
      <c r="H496" t="s">
        <v>1771</v>
      </c>
      <c r="I496" t="s">
        <v>1774</v>
      </c>
    </row>
    <row r="497" spans="1:9">
      <c r="A497" t="str">
        <f>"0103018 "</f>
        <v xml:space="preserve">0103018 </v>
      </c>
      <c r="B497" t="s">
        <v>1567</v>
      </c>
      <c r="C497" t="s">
        <v>1775</v>
      </c>
      <c r="D497" t="s">
        <v>1776</v>
      </c>
      <c r="E497">
        <v>1</v>
      </c>
      <c r="F497" t="s">
        <v>1769</v>
      </c>
      <c r="G497" t="s">
        <v>1567</v>
      </c>
      <c r="H497" t="s">
        <v>1775</v>
      </c>
      <c r="I497" t="s">
        <v>1777</v>
      </c>
    </row>
    <row r="498" spans="1:9">
      <c r="A498" t="str">
        <f>"0103034 "</f>
        <v xml:space="preserve">0103034 </v>
      </c>
      <c r="B498" t="s">
        <v>1567</v>
      </c>
      <c r="C498" t="s">
        <v>1778</v>
      </c>
      <c r="D498" t="s">
        <v>1779</v>
      </c>
      <c r="E498">
        <v>1</v>
      </c>
      <c r="F498" t="s">
        <v>1780</v>
      </c>
      <c r="G498" t="s">
        <v>1567</v>
      </c>
      <c r="H498" t="s">
        <v>1778</v>
      </c>
      <c r="I498" t="s">
        <v>1781</v>
      </c>
    </row>
    <row r="499" spans="1:9">
      <c r="A499" t="str">
        <f>"0103038 "</f>
        <v xml:space="preserve">0103038 </v>
      </c>
      <c r="B499" t="s">
        <v>1567</v>
      </c>
      <c r="C499" t="s">
        <v>1782</v>
      </c>
      <c r="D499" t="s">
        <v>1783</v>
      </c>
      <c r="E499">
        <v>1</v>
      </c>
      <c r="F499" t="s">
        <v>1784</v>
      </c>
      <c r="G499" t="s">
        <v>1567</v>
      </c>
      <c r="H499" t="s">
        <v>1782</v>
      </c>
      <c r="I499" t="s">
        <v>1785</v>
      </c>
    </row>
    <row r="500" spans="1:9">
      <c r="A500" t="str">
        <f>"0103046 "</f>
        <v xml:space="preserve">0103046 </v>
      </c>
      <c r="B500" t="s">
        <v>1567</v>
      </c>
      <c r="C500" t="s">
        <v>1786</v>
      </c>
      <c r="D500" t="s">
        <v>1787</v>
      </c>
      <c r="E500">
        <v>1</v>
      </c>
      <c r="F500" t="s">
        <v>1788</v>
      </c>
      <c r="G500" t="s">
        <v>1567</v>
      </c>
      <c r="H500" t="s">
        <v>1786</v>
      </c>
      <c r="I500" t="s">
        <v>1789</v>
      </c>
    </row>
    <row r="501" spans="1:9">
      <c r="A501" t="str">
        <f>"0103053 "</f>
        <v xml:space="preserve">0103053 </v>
      </c>
      <c r="B501" t="s">
        <v>1567</v>
      </c>
      <c r="C501" t="s">
        <v>1790</v>
      </c>
      <c r="D501" t="s">
        <v>1791</v>
      </c>
      <c r="E501">
        <v>2</v>
      </c>
      <c r="F501" t="s">
        <v>1792</v>
      </c>
      <c r="G501" t="s">
        <v>1567</v>
      </c>
      <c r="H501" t="s">
        <v>1790</v>
      </c>
      <c r="I501" t="s">
        <v>1793</v>
      </c>
    </row>
    <row r="502" spans="1:9">
      <c r="A502" t="str">
        <f>"0103071 "</f>
        <v xml:space="preserve">0103071 </v>
      </c>
      <c r="B502" t="s">
        <v>1567</v>
      </c>
      <c r="C502" t="s">
        <v>1794</v>
      </c>
      <c r="D502" t="s">
        <v>1795</v>
      </c>
      <c r="E502">
        <v>2</v>
      </c>
      <c r="F502" t="s">
        <v>1796</v>
      </c>
      <c r="G502" t="s">
        <v>1567</v>
      </c>
      <c r="H502" t="s">
        <v>1794</v>
      </c>
      <c r="I502" t="s">
        <v>1797</v>
      </c>
    </row>
    <row r="503" spans="1:9">
      <c r="A503" t="str">
        <f>"0103080 "</f>
        <v xml:space="preserve">0103080 </v>
      </c>
      <c r="B503" t="s">
        <v>1567</v>
      </c>
      <c r="C503" t="s">
        <v>1798</v>
      </c>
      <c r="D503" t="s">
        <v>1799</v>
      </c>
      <c r="E503">
        <v>2</v>
      </c>
      <c r="F503" t="s">
        <v>1702</v>
      </c>
      <c r="G503" t="s">
        <v>1567</v>
      </c>
      <c r="H503" t="s">
        <v>1798</v>
      </c>
      <c r="I503" t="s">
        <v>1800</v>
      </c>
    </row>
    <row r="504" spans="1:9">
      <c r="A504" t="str">
        <f>"0103081 "</f>
        <v xml:space="preserve">0103081 </v>
      </c>
      <c r="B504" t="s">
        <v>1567</v>
      </c>
      <c r="C504" t="s">
        <v>1801</v>
      </c>
      <c r="D504" t="s">
        <v>1802</v>
      </c>
      <c r="E504">
        <v>1</v>
      </c>
      <c r="F504" t="s">
        <v>1803</v>
      </c>
      <c r="G504" t="s">
        <v>1567</v>
      </c>
      <c r="H504" t="s">
        <v>1801</v>
      </c>
      <c r="I504" t="s">
        <v>1804</v>
      </c>
    </row>
    <row r="505" spans="1:9">
      <c r="A505" t="str">
        <f>"0103087 "</f>
        <v xml:space="preserve">0103087 </v>
      </c>
      <c r="B505" t="s">
        <v>1567</v>
      </c>
      <c r="C505" t="s">
        <v>1805</v>
      </c>
      <c r="D505" t="s">
        <v>1806</v>
      </c>
      <c r="E505">
        <v>2</v>
      </c>
      <c r="F505" t="s">
        <v>1807</v>
      </c>
      <c r="G505" t="s">
        <v>1567</v>
      </c>
      <c r="H505" t="s">
        <v>1805</v>
      </c>
      <c r="I505" t="s">
        <v>1808</v>
      </c>
    </row>
    <row r="506" spans="1:9">
      <c r="A506" t="str">
        <f>"0103104 "</f>
        <v xml:space="preserve">0103104 </v>
      </c>
      <c r="B506" t="s">
        <v>1567</v>
      </c>
      <c r="C506" t="s">
        <v>1809</v>
      </c>
      <c r="D506" t="s">
        <v>1810</v>
      </c>
      <c r="E506">
        <v>2</v>
      </c>
      <c r="F506" t="s">
        <v>1811</v>
      </c>
      <c r="G506" t="s">
        <v>1567</v>
      </c>
      <c r="H506" t="s">
        <v>1809</v>
      </c>
      <c r="I506" t="s">
        <v>1812</v>
      </c>
    </row>
    <row r="507" spans="1:9">
      <c r="A507" t="str">
        <f>"0103119 "</f>
        <v xml:space="preserve">0103119 </v>
      </c>
      <c r="B507" t="s">
        <v>1567</v>
      </c>
      <c r="C507" t="s">
        <v>1813</v>
      </c>
      <c r="D507" t="s">
        <v>1814</v>
      </c>
      <c r="E507">
        <v>1</v>
      </c>
      <c r="F507" t="s">
        <v>1815</v>
      </c>
      <c r="G507" t="s">
        <v>1567</v>
      </c>
      <c r="H507" t="s">
        <v>1813</v>
      </c>
      <c r="I507" t="s">
        <v>1816</v>
      </c>
    </row>
    <row r="508" spans="1:9">
      <c r="A508" t="str">
        <f>"0103143 "</f>
        <v xml:space="preserve">0103143 </v>
      </c>
      <c r="B508" t="s">
        <v>1567</v>
      </c>
      <c r="C508" t="s">
        <v>1817</v>
      </c>
      <c r="D508" t="s">
        <v>1818</v>
      </c>
      <c r="E508">
        <v>1</v>
      </c>
      <c r="F508" t="s">
        <v>1819</v>
      </c>
      <c r="G508" t="s">
        <v>1567</v>
      </c>
      <c r="H508" t="s">
        <v>1817</v>
      </c>
      <c r="I508" t="s">
        <v>1820</v>
      </c>
    </row>
    <row r="509" spans="1:9">
      <c r="A509" t="str">
        <f>"0103165 "</f>
        <v xml:space="preserve">0103165 </v>
      </c>
      <c r="B509" t="s">
        <v>1567</v>
      </c>
      <c r="C509" t="s">
        <v>1821</v>
      </c>
      <c r="D509" t="s">
        <v>1822</v>
      </c>
      <c r="E509">
        <v>1</v>
      </c>
      <c r="F509" t="s">
        <v>1823</v>
      </c>
      <c r="G509" t="s">
        <v>1567</v>
      </c>
      <c r="H509" t="s">
        <v>1821</v>
      </c>
      <c r="I509" t="s">
        <v>1824</v>
      </c>
    </row>
    <row r="510" spans="1:9">
      <c r="A510" t="str">
        <f>"0103181 "</f>
        <v xml:space="preserve">0103181 </v>
      </c>
      <c r="B510" t="s">
        <v>1567</v>
      </c>
      <c r="C510" t="s">
        <v>1825</v>
      </c>
      <c r="D510" t="s">
        <v>1826</v>
      </c>
      <c r="E510">
        <v>1</v>
      </c>
      <c r="F510" t="s">
        <v>1827</v>
      </c>
      <c r="G510" t="s">
        <v>1567</v>
      </c>
      <c r="H510" t="s">
        <v>1825</v>
      </c>
      <c r="I510" t="s">
        <v>1828</v>
      </c>
    </row>
    <row r="511" spans="1:9">
      <c r="A511" t="str">
        <f>"0220110 "</f>
        <v xml:space="preserve">0220110 </v>
      </c>
      <c r="B511" t="s">
        <v>1567</v>
      </c>
      <c r="C511" t="s">
        <v>1829</v>
      </c>
      <c r="D511" t="s">
        <v>1830</v>
      </c>
      <c r="E511">
        <v>2</v>
      </c>
      <c r="F511" t="s">
        <v>1831</v>
      </c>
      <c r="G511" t="s">
        <v>1567</v>
      </c>
      <c r="H511" t="s">
        <v>1829</v>
      </c>
      <c r="I511" t="s">
        <v>1832</v>
      </c>
    </row>
    <row r="512" spans="1:9">
      <c r="A512" t="str">
        <f>"0103194 "</f>
        <v xml:space="preserve">0103194 </v>
      </c>
      <c r="B512" t="s">
        <v>1567</v>
      </c>
      <c r="C512" t="s">
        <v>1833</v>
      </c>
      <c r="D512" t="s">
        <v>1834</v>
      </c>
      <c r="E512">
        <v>1</v>
      </c>
      <c r="F512" t="s">
        <v>1835</v>
      </c>
      <c r="G512" t="s">
        <v>1567</v>
      </c>
      <c r="H512" t="s">
        <v>1833</v>
      </c>
      <c r="I512" t="s">
        <v>1836</v>
      </c>
    </row>
    <row r="513" spans="1:9">
      <c r="A513" t="str">
        <f>"0103209 "</f>
        <v xml:space="preserve">0103209 </v>
      </c>
      <c r="B513" t="s">
        <v>1567</v>
      </c>
      <c r="C513" t="s">
        <v>1837</v>
      </c>
      <c r="D513" t="s">
        <v>1838</v>
      </c>
      <c r="E513">
        <v>4</v>
      </c>
      <c r="F513" t="s">
        <v>1674</v>
      </c>
      <c r="G513" t="s">
        <v>1567</v>
      </c>
      <c r="H513" t="s">
        <v>1837</v>
      </c>
      <c r="I513" t="s">
        <v>1839</v>
      </c>
    </row>
    <row r="514" spans="1:9">
      <c r="A514" t="str">
        <f>"0103224 "</f>
        <v xml:space="preserve">0103224 </v>
      </c>
      <c r="B514" t="s">
        <v>1567</v>
      </c>
      <c r="C514" t="s">
        <v>1840</v>
      </c>
      <c r="D514" t="s">
        <v>1841</v>
      </c>
      <c r="E514">
        <v>1</v>
      </c>
      <c r="F514" t="s">
        <v>1842</v>
      </c>
      <c r="G514" t="s">
        <v>1567</v>
      </c>
      <c r="H514" t="s">
        <v>1840</v>
      </c>
      <c r="I514" t="s">
        <v>1843</v>
      </c>
    </row>
    <row r="515" spans="1:9">
      <c r="A515" t="str">
        <f>"0103256 "</f>
        <v xml:space="preserve">0103256 </v>
      </c>
      <c r="B515" t="s">
        <v>1567</v>
      </c>
      <c r="C515" t="s">
        <v>1844</v>
      </c>
      <c r="D515" t="s">
        <v>1845</v>
      </c>
      <c r="E515">
        <v>5</v>
      </c>
      <c r="F515" t="s">
        <v>1846</v>
      </c>
      <c r="G515" t="s">
        <v>1567</v>
      </c>
      <c r="H515" t="s">
        <v>1844</v>
      </c>
      <c r="I515" t="s">
        <v>1847</v>
      </c>
    </row>
    <row r="516" spans="1:9">
      <c r="A516" t="str">
        <f>"0103283 "</f>
        <v xml:space="preserve">0103283 </v>
      </c>
      <c r="B516" t="s">
        <v>1567</v>
      </c>
      <c r="C516" t="s">
        <v>1848</v>
      </c>
      <c r="D516" t="s">
        <v>1849</v>
      </c>
      <c r="E516">
        <v>1</v>
      </c>
      <c r="F516" t="s">
        <v>1850</v>
      </c>
      <c r="G516" t="s">
        <v>1567</v>
      </c>
      <c r="H516" t="s">
        <v>1848</v>
      </c>
      <c r="I516" t="s">
        <v>1851</v>
      </c>
    </row>
    <row r="517" spans="1:9">
      <c r="A517" t="str">
        <f>"0103292 "</f>
        <v xml:space="preserve">0103292 </v>
      </c>
      <c r="B517" t="s">
        <v>1567</v>
      </c>
      <c r="C517" t="s">
        <v>1852</v>
      </c>
      <c r="D517" t="s">
        <v>1853</v>
      </c>
      <c r="E517">
        <v>1</v>
      </c>
      <c r="F517" t="s">
        <v>1854</v>
      </c>
      <c r="G517" t="s">
        <v>1567</v>
      </c>
      <c r="H517" t="s">
        <v>1852</v>
      </c>
      <c r="I517" t="s">
        <v>1855</v>
      </c>
    </row>
    <row r="518" spans="1:9">
      <c r="A518" t="str">
        <f>"0103325 "</f>
        <v xml:space="preserve">0103325 </v>
      </c>
      <c r="B518" t="s">
        <v>1567</v>
      </c>
      <c r="C518" t="s">
        <v>1856</v>
      </c>
      <c r="D518" t="s">
        <v>1857</v>
      </c>
      <c r="E518">
        <v>1</v>
      </c>
      <c r="F518" t="s">
        <v>1629</v>
      </c>
      <c r="G518" t="s">
        <v>1567</v>
      </c>
      <c r="H518" t="s">
        <v>1856</v>
      </c>
      <c r="I518" t="s">
        <v>1858</v>
      </c>
    </row>
    <row r="519" spans="1:9">
      <c r="A519" t="str">
        <f>"0103343 "</f>
        <v xml:space="preserve">0103343 </v>
      </c>
      <c r="B519" t="s">
        <v>1567</v>
      </c>
      <c r="C519" t="s">
        <v>1859</v>
      </c>
      <c r="D519" t="s">
        <v>1860</v>
      </c>
      <c r="E519">
        <v>1</v>
      </c>
      <c r="F519" t="s">
        <v>1861</v>
      </c>
      <c r="G519" t="s">
        <v>1567</v>
      </c>
      <c r="H519" t="s">
        <v>1859</v>
      </c>
      <c r="I519" t="s">
        <v>1862</v>
      </c>
    </row>
    <row r="520" spans="1:9">
      <c r="A520" t="str">
        <f>"0103352 "</f>
        <v xml:space="preserve">0103352 </v>
      </c>
      <c r="B520" t="s">
        <v>1567</v>
      </c>
      <c r="C520" t="s">
        <v>1863</v>
      </c>
      <c r="D520" t="s">
        <v>1864</v>
      </c>
      <c r="E520">
        <v>1</v>
      </c>
      <c r="F520" t="s">
        <v>1865</v>
      </c>
      <c r="G520" t="s">
        <v>1567</v>
      </c>
      <c r="H520" t="s">
        <v>1863</v>
      </c>
      <c r="I520" t="s">
        <v>1866</v>
      </c>
    </row>
    <row r="521" spans="1:9">
      <c r="A521" t="str">
        <f>"0103372 "</f>
        <v xml:space="preserve">0103372 </v>
      </c>
      <c r="B521" t="s">
        <v>1567</v>
      </c>
      <c r="C521" t="s">
        <v>1867</v>
      </c>
      <c r="D521" t="s">
        <v>1868</v>
      </c>
      <c r="E521">
        <v>1</v>
      </c>
      <c r="F521" t="s">
        <v>1835</v>
      </c>
      <c r="G521" t="s">
        <v>1567</v>
      </c>
      <c r="H521" t="s">
        <v>1867</v>
      </c>
      <c r="I521" t="s">
        <v>1869</v>
      </c>
    </row>
    <row r="522" spans="1:9">
      <c r="A522" t="str">
        <f>"0103382 "</f>
        <v xml:space="preserve">0103382 </v>
      </c>
      <c r="B522" t="s">
        <v>1567</v>
      </c>
      <c r="C522" t="s">
        <v>1870</v>
      </c>
      <c r="D522" t="s">
        <v>1871</v>
      </c>
      <c r="E522">
        <v>1</v>
      </c>
      <c r="F522" t="s">
        <v>1872</v>
      </c>
      <c r="G522" t="s">
        <v>1567</v>
      </c>
      <c r="H522" t="s">
        <v>1870</v>
      </c>
      <c r="I522" t="s">
        <v>1873</v>
      </c>
    </row>
    <row r="523" spans="1:9">
      <c r="A523" t="str">
        <f>"0103388 "</f>
        <v xml:space="preserve">0103388 </v>
      </c>
      <c r="B523" t="s">
        <v>1567</v>
      </c>
      <c r="C523" t="s">
        <v>1874</v>
      </c>
      <c r="D523" t="s">
        <v>1875</v>
      </c>
      <c r="E523">
        <v>1</v>
      </c>
      <c r="F523" t="s">
        <v>1876</v>
      </c>
      <c r="G523" t="s">
        <v>1567</v>
      </c>
      <c r="H523" t="s">
        <v>1874</v>
      </c>
      <c r="I523" t="s">
        <v>1877</v>
      </c>
    </row>
    <row r="524" spans="1:9">
      <c r="A524" t="str">
        <f>"0103427 "</f>
        <v xml:space="preserve">0103427 </v>
      </c>
      <c r="B524" t="s">
        <v>1567</v>
      </c>
      <c r="C524" t="s">
        <v>1878</v>
      </c>
      <c r="D524" t="s">
        <v>1879</v>
      </c>
      <c r="E524">
        <v>1</v>
      </c>
      <c r="F524" t="s">
        <v>1880</v>
      </c>
      <c r="G524" t="s">
        <v>1567</v>
      </c>
      <c r="H524" t="s">
        <v>1878</v>
      </c>
      <c r="I524" t="s">
        <v>1881</v>
      </c>
    </row>
    <row r="525" spans="1:9">
      <c r="A525" t="str">
        <f>"0103430 "</f>
        <v xml:space="preserve">0103430 </v>
      </c>
      <c r="B525" t="s">
        <v>1567</v>
      </c>
      <c r="C525" t="s">
        <v>1882</v>
      </c>
      <c r="D525" t="s">
        <v>1883</v>
      </c>
      <c r="E525">
        <v>1</v>
      </c>
      <c r="F525" t="s">
        <v>1884</v>
      </c>
      <c r="G525" t="s">
        <v>1567</v>
      </c>
      <c r="H525" t="s">
        <v>1882</v>
      </c>
      <c r="I525" t="s">
        <v>1885</v>
      </c>
    </row>
    <row r="526" spans="1:9">
      <c r="A526" t="str">
        <f>"0103443 "</f>
        <v xml:space="preserve">0103443 </v>
      </c>
      <c r="B526" t="s">
        <v>1567</v>
      </c>
      <c r="C526" t="s">
        <v>1886</v>
      </c>
      <c r="D526" t="s">
        <v>1887</v>
      </c>
      <c r="E526">
        <v>1</v>
      </c>
      <c r="F526" t="s">
        <v>1888</v>
      </c>
      <c r="G526" t="s">
        <v>1567</v>
      </c>
      <c r="H526" t="s">
        <v>1886</v>
      </c>
      <c r="I526" t="s">
        <v>1889</v>
      </c>
    </row>
    <row r="527" spans="1:9">
      <c r="A527" t="str">
        <f>"0103451 "</f>
        <v xml:space="preserve">0103451 </v>
      </c>
      <c r="B527" t="s">
        <v>1567</v>
      </c>
      <c r="C527" t="s">
        <v>1890</v>
      </c>
      <c r="D527" t="s">
        <v>1891</v>
      </c>
      <c r="E527">
        <v>2</v>
      </c>
      <c r="F527" t="s">
        <v>1892</v>
      </c>
      <c r="G527" t="s">
        <v>1567</v>
      </c>
      <c r="H527" t="s">
        <v>1890</v>
      </c>
      <c r="I527" t="s">
        <v>1893</v>
      </c>
    </row>
    <row r="528" spans="1:9">
      <c r="A528" t="str">
        <f>"0103461 "</f>
        <v xml:space="preserve">0103461 </v>
      </c>
      <c r="B528" t="s">
        <v>1567</v>
      </c>
      <c r="C528" t="s">
        <v>1894</v>
      </c>
      <c r="D528" t="s">
        <v>1895</v>
      </c>
      <c r="E528">
        <v>2</v>
      </c>
      <c r="F528" t="s">
        <v>1896</v>
      </c>
      <c r="G528" t="s">
        <v>1567</v>
      </c>
      <c r="H528" t="s">
        <v>1894</v>
      </c>
      <c r="I528" t="s">
        <v>1897</v>
      </c>
    </row>
    <row r="529" spans="1:9">
      <c r="A529" t="str">
        <f>"0103470 "</f>
        <v xml:space="preserve">0103470 </v>
      </c>
      <c r="B529" t="s">
        <v>1567</v>
      </c>
      <c r="C529" t="s">
        <v>1898</v>
      </c>
      <c r="D529" t="s">
        <v>1899</v>
      </c>
      <c r="E529">
        <v>2</v>
      </c>
      <c r="F529" t="s">
        <v>1769</v>
      </c>
      <c r="G529" t="s">
        <v>1567</v>
      </c>
      <c r="H529" t="s">
        <v>1898</v>
      </c>
      <c r="I529" t="s">
        <v>1900</v>
      </c>
    </row>
    <row r="530" spans="1:9">
      <c r="A530" t="str">
        <f>"0103500 "</f>
        <v xml:space="preserve">0103500 </v>
      </c>
      <c r="B530" t="s">
        <v>1567</v>
      </c>
      <c r="C530" t="s">
        <v>1901</v>
      </c>
      <c r="D530" t="s">
        <v>1902</v>
      </c>
      <c r="E530">
        <v>1</v>
      </c>
      <c r="F530" t="s">
        <v>1903</v>
      </c>
      <c r="G530" t="s">
        <v>1567</v>
      </c>
      <c r="H530" t="s">
        <v>1901</v>
      </c>
      <c r="I530" t="s">
        <v>1904</v>
      </c>
    </row>
    <row r="531" spans="1:9">
      <c r="A531" t="str">
        <f>"0103519 "</f>
        <v xml:space="preserve">0103519 </v>
      </c>
      <c r="B531" t="s">
        <v>1567</v>
      </c>
      <c r="C531" t="s">
        <v>1905</v>
      </c>
      <c r="D531" t="s">
        <v>1906</v>
      </c>
      <c r="E531">
        <v>1</v>
      </c>
      <c r="F531" t="s">
        <v>1907</v>
      </c>
      <c r="G531" t="s">
        <v>1567</v>
      </c>
      <c r="H531" t="s">
        <v>1905</v>
      </c>
      <c r="I531" t="s">
        <v>1908</v>
      </c>
    </row>
    <row r="532" spans="1:9">
      <c r="A532" t="str">
        <f>"0103523 "</f>
        <v xml:space="preserve">0103523 </v>
      </c>
      <c r="B532" t="s">
        <v>1567</v>
      </c>
      <c r="C532" t="s">
        <v>1909</v>
      </c>
      <c r="D532" t="s">
        <v>1910</v>
      </c>
      <c r="E532">
        <v>1</v>
      </c>
      <c r="F532" t="s">
        <v>1911</v>
      </c>
      <c r="G532" t="s">
        <v>1567</v>
      </c>
      <c r="H532" t="s">
        <v>1909</v>
      </c>
      <c r="I532" t="s">
        <v>1912</v>
      </c>
    </row>
    <row r="533" spans="1:9">
      <c r="A533" t="str">
        <f>"0103526 "</f>
        <v xml:space="preserve">0103526 </v>
      </c>
      <c r="B533" t="s">
        <v>1567</v>
      </c>
      <c r="C533" t="s">
        <v>1913</v>
      </c>
      <c r="D533" t="s">
        <v>1914</v>
      </c>
      <c r="E533">
        <v>1</v>
      </c>
      <c r="F533" t="s">
        <v>1850</v>
      </c>
      <c r="G533" t="s">
        <v>1567</v>
      </c>
      <c r="H533" t="s">
        <v>1913</v>
      </c>
      <c r="I533" t="s">
        <v>1915</v>
      </c>
    </row>
    <row r="534" spans="1:9">
      <c r="A534" t="str">
        <f>"0103530 "</f>
        <v xml:space="preserve">0103530 </v>
      </c>
      <c r="B534" t="s">
        <v>1567</v>
      </c>
      <c r="C534" t="s">
        <v>1916</v>
      </c>
      <c r="D534" t="s">
        <v>1917</v>
      </c>
      <c r="E534">
        <v>2</v>
      </c>
      <c r="F534" t="s">
        <v>1918</v>
      </c>
      <c r="G534" t="s">
        <v>1567</v>
      </c>
      <c r="H534" t="s">
        <v>1916</v>
      </c>
      <c r="I534" t="s">
        <v>1919</v>
      </c>
    </row>
    <row r="535" spans="1:9">
      <c r="A535" t="str">
        <f>"0103536 "</f>
        <v xml:space="preserve">0103536 </v>
      </c>
      <c r="B535" t="s">
        <v>1567</v>
      </c>
      <c r="C535" t="s">
        <v>1920</v>
      </c>
      <c r="D535" t="s">
        <v>1921</v>
      </c>
      <c r="E535">
        <v>1</v>
      </c>
      <c r="F535" t="s">
        <v>163</v>
      </c>
      <c r="G535" t="s">
        <v>1567</v>
      </c>
      <c r="H535" t="s">
        <v>1920</v>
      </c>
      <c r="I535" t="s">
        <v>1922</v>
      </c>
    </row>
    <row r="536" spans="1:9">
      <c r="A536" t="str">
        <f>"0103543 "</f>
        <v xml:space="preserve">0103543 </v>
      </c>
      <c r="B536" t="s">
        <v>1567</v>
      </c>
      <c r="C536" t="s">
        <v>1923</v>
      </c>
      <c r="D536" t="s">
        <v>1924</v>
      </c>
      <c r="E536">
        <v>1</v>
      </c>
      <c r="F536" t="s">
        <v>1925</v>
      </c>
      <c r="G536" t="s">
        <v>1567</v>
      </c>
      <c r="H536" t="s">
        <v>1923</v>
      </c>
      <c r="I536" t="s">
        <v>1926</v>
      </c>
    </row>
    <row r="537" spans="1:9">
      <c r="A537" t="str">
        <f>"0103553 "</f>
        <v xml:space="preserve">0103553 </v>
      </c>
      <c r="B537" t="s">
        <v>1567</v>
      </c>
      <c r="C537" t="s">
        <v>1927</v>
      </c>
      <c r="D537" t="s">
        <v>1928</v>
      </c>
      <c r="E537">
        <v>1</v>
      </c>
      <c r="F537" t="s">
        <v>1929</v>
      </c>
      <c r="G537" t="s">
        <v>1567</v>
      </c>
      <c r="H537" t="s">
        <v>1927</v>
      </c>
      <c r="I537" t="s">
        <v>1930</v>
      </c>
    </row>
    <row r="538" spans="1:9">
      <c r="A538" t="str">
        <f>"0103571 "</f>
        <v xml:space="preserve">0103571 </v>
      </c>
      <c r="B538" t="s">
        <v>1567</v>
      </c>
      <c r="C538" t="s">
        <v>1931</v>
      </c>
      <c r="D538" t="s">
        <v>1932</v>
      </c>
      <c r="E538" t="s">
        <v>20</v>
      </c>
      <c r="F538" t="s">
        <v>1933</v>
      </c>
      <c r="G538" t="s">
        <v>1567</v>
      </c>
      <c r="H538" t="s">
        <v>1931</v>
      </c>
      <c r="I538" t="s">
        <v>1934</v>
      </c>
    </row>
    <row r="539" spans="1:9">
      <c r="A539" t="str">
        <f>"0103604 "</f>
        <v xml:space="preserve">0103604 </v>
      </c>
      <c r="B539" t="s">
        <v>1567</v>
      </c>
      <c r="C539" t="s">
        <v>1935</v>
      </c>
      <c r="D539" t="s">
        <v>1936</v>
      </c>
      <c r="E539">
        <v>1</v>
      </c>
      <c r="F539" t="s">
        <v>1937</v>
      </c>
      <c r="G539" t="s">
        <v>1567</v>
      </c>
      <c r="H539" t="s">
        <v>1935</v>
      </c>
      <c r="I539" t="s">
        <v>1938</v>
      </c>
    </row>
    <row r="540" spans="1:9">
      <c r="A540" t="str">
        <f>"0103617 "</f>
        <v xml:space="preserve">0103617 </v>
      </c>
      <c r="B540" t="s">
        <v>1567</v>
      </c>
      <c r="C540" t="s">
        <v>1939</v>
      </c>
      <c r="D540" t="s">
        <v>1940</v>
      </c>
      <c r="E540">
        <v>1</v>
      </c>
      <c r="F540" t="s">
        <v>1941</v>
      </c>
      <c r="G540" t="s">
        <v>1567</v>
      </c>
      <c r="H540" t="s">
        <v>1939</v>
      </c>
      <c r="I540" t="s">
        <v>1942</v>
      </c>
    </row>
    <row r="541" spans="1:9">
      <c r="A541" t="str">
        <f>"0103667 "</f>
        <v xml:space="preserve">0103667 </v>
      </c>
      <c r="B541" t="s">
        <v>1567</v>
      </c>
      <c r="C541" t="s">
        <v>1943</v>
      </c>
      <c r="D541" t="s">
        <v>1944</v>
      </c>
      <c r="E541">
        <v>1</v>
      </c>
      <c r="F541" t="s">
        <v>1945</v>
      </c>
      <c r="G541" t="s">
        <v>1567</v>
      </c>
      <c r="H541" t="s">
        <v>1943</v>
      </c>
      <c r="I541" t="s">
        <v>1946</v>
      </c>
    </row>
    <row r="542" spans="1:9">
      <c r="A542" t="str">
        <f>"0103683 "</f>
        <v xml:space="preserve">0103683 </v>
      </c>
      <c r="B542" t="s">
        <v>1567</v>
      </c>
      <c r="C542" t="s">
        <v>1947</v>
      </c>
      <c r="D542" t="s">
        <v>1948</v>
      </c>
      <c r="E542">
        <v>3</v>
      </c>
      <c r="F542" t="s">
        <v>1949</v>
      </c>
      <c r="G542" t="s">
        <v>1567</v>
      </c>
      <c r="H542" t="s">
        <v>1947</v>
      </c>
      <c r="I542" t="s">
        <v>1950</v>
      </c>
    </row>
    <row r="543" spans="1:9">
      <c r="A543" t="str">
        <f>"0103685 "</f>
        <v xml:space="preserve">0103685 </v>
      </c>
      <c r="B543" t="s">
        <v>1567</v>
      </c>
      <c r="C543" t="s">
        <v>1951</v>
      </c>
      <c r="D543" t="s">
        <v>1952</v>
      </c>
      <c r="E543">
        <v>1</v>
      </c>
      <c r="F543" t="s">
        <v>1953</v>
      </c>
      <c r="G543" t="s">
        <v>1567</v>
      </c>
      <c r="H543" t="s">
        <v>1951</v>
      </c>
      <c r="I543" t="e">
        <f>'LA181'  AUDI 'A3' II/SEAT Altea/SKODA OCTAVIA/VW GOLF V/GOLF Plus/Passat/Touran/Caddy/Jetta III</f>
        <v>#NAME?</v>
      </c>
    </row>
    <row r="544" spans="1:9">
      <c r="A544" t="str">
        <f>"0103698 "</f>
        <v xml:space="preserve">0103698 </v>
      </c>
      <c r="B544" t="s">
        <v>1567</v>
      </c>
      <c r="C544" t="s">
        <v>1954</v>
      </c>
      <c r="D544" t="s">
        <v>1955</v>
      </c>
      <c r="E544">
        <v>1</v>
      </c>
      <c r="F544" t="s">
        <v>1956</v>
      </c>
      <c r="G544" t="s">
        <v>1567</v>
      </c>
      <c r="H544" t="s">
        <v>1954</v>
      </c>
      <c r="I544" t="s">
        <v>1957</v>
      </c>
    </row>
    <row r="545" spans="1:9">
      <c r="A545" t="str">
        <f>"0103701 "</f>
        <v xml:space="preserve">0103701 </v>
      </c>
      <c r="B545" t="s">
        <v>1567</v>
      </c>
      <c r="C545" t="s">
        <v>1958</v>
      </c>
      <c r="D545" t="s">
        <v>1959</v>
      </c>
      <c r="E545">
        <v>1</v>
      </c>
      <c r="F545" t="s">
        <v>1960</v>
      </c>
      <c r="G545" t="s">
        <v>1567</v>
      </c>
      <c r="H545" t="s">
        <v>1958</v>
      </c>
      <c r="I545" t="s">
        <v>1961</v>
      </c>
    </row>
    <row r="546" spans="1:9">
      <c r="A546" t="str">
        <f>"0103710 "</f>
        <v xml:space="preserve">0103710 </v>
      </c>
      <c r="B546" t="s">
        <v>1567</v>
      </c>
      <c r="C546" t="s">
        <v>1962</v>
      </c>
      <c r="D546" t="s">
        <v>1963</v>
      </c>
      <c r="E546">
        <v>1</v>
      </c>
      <c r="F546" t="s">
        <v>1964</v>
      </c>
      <c r="G546" t="s">
        <v>1567</v>
      </c>
      <c r="H546" t="s">
        <v>1962</v>
      </c>
      <c r="I546" t="s">
        <v>1965</v>
      </c>
    </row>
    <row r="547" spans="1:9">
      <c r="A547" t="str">
        <f>"0103716 "</f>
        <v xml:space="preserve">0103716 </v>
      </c>
      <c r="B547" t="s">
        <v>1567</v>
      </c>
      <c r="C547" t="s">
        <v>1966</v>
      </c>
      <c r="D547" t="s">
        <v>1967</v>
      </c>
      <c r="E547">
        <v>2</v>
      </c>
      <c r="F547" t="s">
        <v>1968</v>
      </c>
      <c r="G547" t="s">
        <v>1567</v>
      </c>
      <c r="H547" t="s">
        <v>1966</v>
      </c>
      <c r="I547" t="s">
        <v>1969</v>
      </c>
    </row>
    <row r="548" spans="1:9">
      <c r="A548" t="str">
        <f>"0103718 "</f>
        <v xml:space="preserve">0103718 </v>
      </c>
      <c r="B548" t="s">
        <v>1567</v>
      </c>
      <c r="C548" t="s">
        <v>1970</v>
      </c>
      <c r="D548" t="s">
        <v>1971</v>
      </c>
      <c r="E548" t="s">
        <v>20</v>
      </c>
      <c r="F548" t="s">
        <v>1972</v>
      </c>
      <c r="G548" t="s">
        <v>1567</v>
      </c>
      <c r="H548" t="s">
        <v>1970</v>
      </c>
      <c r="I548" t="s">
        <v>1973</v>
      </c>
    </row>
    <row r="549" spans="1:9">
      <c r="A549" t="str">
        <f>"0103720 "</f>
        <v xml:space="preserve">0103720 </v>
      </c>
      <c r="B549" t="s">
        <v>1567</v>
      </c>
      <c r="C549" t="s">
        <v>1974</v>
      </c>
      <c r="D549" t="s">
        <v>1975</v>
      </c>
      <c r="E549">
        <v>1</v>
      </c>
      <c r="F549" t="s">
        <v>1976</v>
      </c>
      <c r="G549" t="s">
        <v>1567</v>
      </c>
      <c r="H549" t="s">
        <v>1974</v>
      </c>
      <c r="I549" t="s">
        <v>1977</v>
      </c>
    </row>
    <row r="550" spans="1:9">
      <c r="A550" t="str">
        <f>"0103722 "</f>
        <v xml:space="preserve">0103722 </v>
      </c>
      <c r="B550" t="s">
        <v>1567</v>
      </c>
      <c r="C550" t="s">
        <v>1978</v>
      </c>
      <c r="D550" t="s">
        <v>1979</v>
      </c>
      <c r="E550">
        <v>1</v>
      </c>
      <c r="F550" t="s">
        <v>1980</v>
      </c>
      <c r="G550" t="s">
        <v>1567</v>
      </c>
      <c r="H550" t="s">
        <v>1978</v>
      </c>
      <c r="I550" t="s">
        <v>1981</v>
      </c>
    </row>
    <row r="551" spans="1:9">
      <c r="A551" t="str">
        <f>"0103730 "</f>
        <v xml:space="preserve">0103730 </v>
      </c>
      <c r="B551" t="s">
        <v>1567</v>
      </c>
      <c r="C551" t="s">
        <v>1982</v>
      </c>
      <c r="D551" t="s">
        <v>1983</v>
      </c>
      <c r="E551">
        <v>2</v>
      </c>
      <c r="F551" t="s">
        <v>1984</v>
      </c>
      <c r="G551" t="s">
        <v>1567</v>
      </c>
      <c r="H551" t="s">
        <v>1982</v>
      </c>
      <c r="I551" t="s">
        <v>1985</v>
      </c>
    </row>
    <row r="552" spans="1:9">
      <c r="A552" t="str">
        <f>"0103731 "</f>
        <v xml:space="preserve">0103731 </v>
      </c>
      <c r="B552" t="s">
        <v>1567</v>
      </c>
      <c r="C552" t="s">
        <v>1986</v>
      </c>
      <c r="D552" t="s">
        <v>1987</v>
      </c>
      <c r="E552">
        <v>3</v>
      </c>
      <c r="F552" t="s">
        <v>1988</v>
      </c>
      <c r="G552" t="s">
        <v>1567</v>
      </c>
      <c r="H552" t="s">
        <v>1986</v>
      </c>
      <c r="I552" t="s">
        <v>1989</v>
      </c>
    </row>
    <row r="553" spans="1:9">
      <c r="A553" t="str">
        <f>"0103732 "</f>
        <v xml:space="preserve">0103732 </v>
      </c>
      <c r="B553" t="s">
        <v>1567</v>
      </c>
      <c r="C553" t="s">
        <v>1990</v>
      </c>
      <c r="D553" t="s">
        <v>1991</v>
      </c>
      <c r="E553">
        <v>1</v>
      </c>
      <c r="F553" t="s">
        <v>1734</v>
      </c>
      <c r="G553" t="s">
        <v>1567</v>
      </c>
      <c r="H553" t="s">
        <v>1990</v>
      </c>
      <c r="I553" t="s">
        <v>1992</v>
      </c>
    </row>
    <row r="554" spans="1:9">
      <c r="A554" t="str">
        <f>"0103737 "</f>
        <v xml:space="preserve">0103737 </v>
      </c>
      <c r="B554" t="s">
        <v>1567</v>
      </c>
      <c r="C554" t="s">
        <v>1993</v>
      </c>
      <c r="D554" t="s">
        <v>1994</v>
      </c>
      <c r="E554">
        <v>1</v>
      </c>
      <c r="F554" t="s">
        <v>1995</v>
      </c>
      <c r="G554" t="s">
        <v>1567</v>
      </c>
      <c r="H554" t="s">
        <v>1993</v>
      </c>
      <c r="I554" t="s">
        <v>1996</v>
      </c>
    </row>
    <row r="555" spans="1:9">
      <c r="A555" t="str">
        <f>"0103747 "</f>
        <v xml:space="preserve">0103747 </v>
      </c>
      <c r="B555" t="s">
        <v>1567</v>
      </c>
      <c r="C555" t="s">
        <v>1997</v>
      </c>
      <c r="D555" t="s">
        <v>1998</v>
      </c>
      <c r="E555">
        <v>1</v>
      </c>
      <c r="F555" t="s">
        <v>1999</v>
      </c>
      <c r="G555" t="s">
        <v>1567</v>
      </c>
      <c r="H555" t="s">
        <v>1997</v>
      </c>
      <c r="I555" t="s">
        <v>2000</v>
      </c>
    </row>
    <row r="556" spans="1:9">
      <c r="A556" t="str">
        <f>"0103749 "</f>
        <v xml:space="preserve">0103749 </v>
      </c>
      <c r="B556" t="s">
        <v>1567</v>
      </c>
      <c r="C556" t="s">
        <v>2001</v>
      </c>
      <c r="D556" t="s">
        <v>2002</v>
      </c>
      <c r="E556">
        <v>1</v>
      </c>
      <c r="F556" t="s">
        <v>2003</v>
      </c>
      <c r="G556" t="s">
        <v>1567</v>
      </c>
      <c r="H556" t="s">
        <v>2001</v>
      </c>
      <c r="I556" t="s">
        <v>2004</v>
      </c>
    </row>
    <row r="557" spans="1:9">
      <c r="A557" t="str">
        <f>"0103760 "</f>
        <v xml:space="preserve">0103760 </v>
      </c>
      <c r="B557" t="s">
        <v>1567</v>
      </c>
      <c r="C557" t="s">
        <v>2005</v>
      </c>
      <c r="D557" t="s">
        <v>2006</v>
      </c>
      <c r="E557" t="s">
        <v>20</v>
      </c>
      <c r="F557" t="s">
        <v>2007</v>
      </c>
      <c r="G557" t="s">
        <v>1567</v>
      </c>
      <c r="H557" t="s">
        <v>2005</v>
      </c>
      <c r="I557" t="s">
        <v>2008</v>
      </c>
    </row>
    <row r="558" spans="1:9">
      <c r="A558" t="str">
        <f>"0103764 "</f>
        <v xml:space="preserve">0103764 </v>
      </c>
      <c r="B558" t="s">
        <v>1567</v>
      </c>
      <c r="C558" t="s">
        <v>2009</v>
      </c>
      <c r="D558" t="s">
        <v>2010</v>
      </c>
      <c r="E558">
        <v>1</v>
      </c>
      <c r="F558" t="s">
        <v>2011</v>
      </c>
      <c r="G558" t="s">
        <v>1567</v>
      </c>
      <c r="H558" t="s">
        <v>2009</v>
      </c>
      <c r="I558" t="s">
        <v>2012</v>
      </c>
    </row>
    <row r="559" spans="1:9">
      <c r="A559" t="str">
        <f>"0103766 "</f>
        <v xml:space="preserve">0103766 </v>
      </c>
      <c r="B559" t="s">
        <v>1567</v>
      </c>
      <c r="C559" t="s">
        <v>2013</v>
      </c>
      <c r="D559" t="s">
        <v>2014</v>
      </c>
      <c r="E559">
        <v>1</v>
      </c>
      <c r="F559" t="s">
        <v>2015</v>
      </c>
      <c r="G559" t="s">
        <v>1567</v>
      </c>
      <c r="H559" t="s">
        <v>2013</v>
      </c>
      <c r="I559" t="s">
        <v>2016</v>
      </c>
    </row>
    <row r="560" spans="1:9">
      <c r="A560" t="str">
        <f>"0103774 "</f>
        <v xml:space="preserve">0103774 </v>
      </c>
      <c r="B560" t="s">
        <v>1567</v>
      </c>
      <c r="C560" t="s">
        <v>2017</v>
      </c>
      <c r="D560" t="s">
        <v>2018</v>
      </c>
      <c r="E560">
        <v>2</v>
      </c>
      <c r="F560" t="s">
        <v>2019</v>
      </c>
      <c r="G560" t="s">
        <v>1567</v>
      </c>
      <c r="H560" t="s">
        <v>2017</v>
      </c>
      <c r="I560" t="s">
        <v>2020</v>
      </c>
    </row>
    <row r="561" spans="1:9">
      <c r="A561" t="str">
        <f>"0103776 "</f>
        <v xml:space="preserve">0103776 </v>
      </c>
      <c r="B561" t="s">
        <v>1567</v>
      </c>
      <c r="C561" t="s">
        <v>2021</v>
      </c>
      <c r="D561" t="s">
        <v>2022</v>
      </c>
      <c r="E561">
        <v>3</v>
      </c>
      <c r="F561" t="s">
        <v>2023</v>
      </c>
      <c r="G561" t="s">
        <v>1567</v>
      </c>
      <c r="H561" t="s">
        <v>2021</v>
      </c>
      <c r="I561" t="s">
        <v>2024</v>
      </c>
    </row>
    <row r="562" spans="1:9">
      <c r="A562" t="str">
        <f>"0103778 "</f>
        <v xml:space="preserve">0103778 </v>
      </c>
      <c r="B562" t="s">
        <v>1567</v>
      </c>
      <c r="C562" t="s">
        <v>2025</v>
      </c>
      <c r="D562" t="s">
        <v>2026</v>
      </c>
      <c r="E562" t="s">
        <v>20</v>
      </c>
      <c r="F562" t="s">
        <v>2027</v>
      </c>
      <c r="G562" t="s">
        <v>1567</v>
      </c>
      <c r="H562" t="s">
        <v>2025</v>
      </c>
      <c r="I562" t="s">
        <v>2028</v>
      </c>
    </row>
    <row r="563" spans="1:9">
      <c r="A563" t="str">
        <f>"0103783 "</f>
        <v xml:space="preserve">0103783 </v>
      </c>
      <c r="B563" t="s">
        <v>1567</v>
      </c>
      <c r="C563" t="s">
        <v>2029</v>
      </c>
      <c r="D563" t="s">
        <v>2030</v>
      </c>
      <c r="E563">
        <v>1</v>
      </c>
      <c r="F563" t="s">
        <v>2031</v>
      </c>
      <c r="G563" t="s">
        <v>1567</v>
      </c>
      <c r="H563" t="s">
        <v>2029</v>
      </c>
      <c r="I563" t="s">
        <v>2032</v>
      </c>
    </row>
    <row r="564" spans="1:9">
      <c r="A564" t="str">
        <f>"0103793 "</f>
        <v xml:space="preserve">0103793 </v>
      </c>
      <c r="B564" t="s">
        <v>1567</v>
      </c>
      <c r="C564" t="s">
        <v>2033</v>
      </c>
      <c r="D564" t="s">
        <v>2034</v>
      </c>
      <c r="E564">
        <v>1</v>
      </c>
      <c r="F564" t="s">
        <v>2035</v>
      </c>
      <c r="G564" t="s">
        <v>1567</v>
      </c>
      <c r="H564" t="s">
        <v>2033</v>
      </c>
      <c r="I564" t="s">
        <v>2036</v>
      </c>
    </row>
    <row r="565" spans="1:9">
      <c r="A565" t="str">
        <f>"0103802 "</f>
        <v xml:space="preserve">0103802 </v>
      </c>
      <c r="B565" t="s">
        <v>1567</v>
      </c>
      <c r="C565" t="s">
        <v>2037</v>
      </c>
      <c r="D565" t="s">
        <v>2038</v>
      </c>
      <c r="E565">
        <v>1</v>
      </c>
      <c r="F565" t="s">
        <v>2039</v>
      </c>
      <c r="G565" t="s">
        <v>1567</v>
      </c>
      <c r="H565" t="s">
        <v>2037</v>
      </c>
      <c r="I565" t="s">
        <v>2040</v>
      </c>
    </row>
    <row r="566" spans="1:9">
      <c r="A566" t="str">
        <f>"0103805 "</f>
        <v xml:space="preserve">0103805 </v>
      </c>
      <c r="B566" t="s">
        <v>1567</v>
      </c>
      <c r="C566" t="s">
        <v>2041</v>
      </c>
      <c r="D566" t="s">
        <v>2042</v>
      </c>
      <c r="E566" t="s">
        <v>20</v>
      </c>
      <c r="F566" t="s">
        <v>2043</v>
      </c>
      <c r="G566" t="s">
        <v>1567</v>
      </c>
      <c r="H566" t="s">
        <v>2041</v>
      </c>
      <c r="I566" t="s">
        <v>2044</v>
      </c>
    </row>
    <row r="567" spans="1:9">
      <c r="A567" t="str">
        <f>"0103808 "</f>
        <v xml:space="preserve">0103808 </v>
      </c>
      <c r="B567" t="s">
        <v>1567</v>
      </c>
      <c r="C567" t="s">
        <v>2045</v>
      </c>
      <c r="D567" t="s">
        <v>2046</v>
      </c>
      <c r="E567">
        <v>1</v>
      </c>
      <c r="F567" t="s">
        <v>2047</v>
      </c>
      <c r="G567" t="s">
        <v>1567</v>
      </c>
      <c r="H567" t="s">
        <v>2045</v>
      </c>
      <c r="I567" t="s">
        <v>2048</v>
      </c>
    </row>
    <row r="568" spans="1:9">
      <c r="A568" t="str">
        <f>"0103809 "</f>
        <v xml:space="preserve">0103809 </v>
      </c>
      <c r="B568" t="s">
        <v>1567</v>
      </c>
      <c r="C568" t="s">
        <v>2049</v>
      </c>
      <c r="D568" t="s">
        <v>2050</v>
      </c>
      <c r="E568">
        <v>2</v>
      </c>
      <c r="F568" t="s">
        <v>2051</v>
      </c>
      <c r="G568" t="s">
        <v>1567</v>
      </c>
      <c r="H568" t="s">
        <v>2049</v>
      </c>
      <c r="I568" t="s">
        <v>2052</v>
      </c>
    </row>
    <row r="569" spans="1:9">
      <c r="A569" t="str">
        <f>"0103817 "</f>
        <v xml:space="preserve">0103817 </v>
      </c>
      <c r="B569" t="s">
        <v>1567</v>
      </c>
      <c r="C569" t="s">
        <v>2053</v>
      </c>
      <c r="D569" t="s">
        <v>2054</v>
      </c>
      <c r="E569">
        <v>1</v>
      </c>
      <c r="F569" t="s">
        <v>2055</v>
      </c>
      <c r="G569" t="s">
        <v>1567</v>
      </c>
      <c r="H569" t="s">
        <v>2053</v>
      </c>
      <c r="I569" t="s">
        <v>2056</v>
      </c>
    </row>
    <row r="570" spans="1:9">
      <c r="A570" t="str">
        <f>"0103821 "</f>
        <v xml:space="preserve">0103821 </v>
      </c>
      <c r="B570" t="s">
        <v>1567</v>
      </c>
      <c r="C570" t="s">
        <v>2057</v>
      </c>
      <c r="D570" t="s">
        <v>2058</v>
      </c>
      <c r="E570">
        <v>1</v>
      </c>
      <c r="F570" t="s">
        <v>2059</v>
      </c>
      <c r="G570" t="s">
        <v>1567</v>
      </c>
      <c r="H570" t="s">
        <v>2057</v>
      </c>
      <c r="I570" t="s">
        <v>2060</v>
      </c>
    </row>
    <row r="571" spans="1:9">
      <c r="A571" t="str">
        <f>"0103824 "</f>
        <v xml:space="preserve">0103824 </v>
      </c>
      <c r="B571" t="s">
        <v>1567</v>
      </c>
      <c r="C571" t="s">
        <v>2061</v>
      </c>
      <c r="D571" t="s">
        <v>2062</v>
      </c>
      <c r="E571">
        <v>1</v>
      </c>
      <c r="F571" t="s">
        <v>2063</v>
      </c>
      <c r="G571" t="s">
        <v>1567</v>
      </c>
      <c r="H571" t="s">
        <v>2061</v>
      </c>
      <c r="I571" t="s">
        <v>2064</v>
      </c>
    </row>
    <row r="572" spans="1:9">
      <c r="A572" t="str">
        <f>"0103826 "</f>
        <v xml:space="preserve">0103826 </v>
      </c>
      <c r="B572" t="s">
        <v>1567</v>
      </c>
      <c r="C572" t="s">
        <v>2065</v>
      </c>
      <c r="D572" t="s">
        <v>2066</v>
      </c>
      <c r="E572">
        <v>1</v>
      </c>
      <c r="F572" t="s">
        <v>2067</v>
      </c>
      <c r="G572" t="s">
        <v>1567</v>
      </c>
      <c r="H572" t="s">
        <v>2065</v>
      </c>
      <c r="I572" t="s">
        <v>2068</v>
      </c>
    </row>
    <row r="573" spans="1:9">
      <c r="A573" t="str">
        <f>"0103827 "</f>
        <v xml:space="preserve">0103827 </v>
      </c>
      <c r="B573" t="s">
        <v>1567</v>
      </c>
      <c r="C573" t="s">
        <v>2069</v>
      </c>
      <c r="D573" t="s">
        <v>2070</v>
      </c>
      <c r="E573">
        <v>2</v>
      </c>
      <c r="F573" t="s">
        <v>2071</v>
      </c>
      <c r="G573" t="s">
        <v>1567</v>
      </c>
      <c r="H573" t="s">
        <v>2069</v>
      </c>
      <c r="I573" t="s">
        <v>2072</v>
      </c>
    </row>
    <row r="574" spans="1:9">
      <c r="A574" t="str">
        <f>"0103839 "</f>
        <v xml:space="preserve">0103839 </v>
      </c>
      <c r="B574" t="s">
        <v>1567</v>
      </c>
      <c r="C574" t="s">
        <v>2073</v>
      </c>
      <c r="D574" t="s">
        <v>2074</v>
      </c>
      <c r="E574">
        <v>1</v>
      </c>
      <c r="F574" t="s">
        <v>2075</v>
      </c>
      <c r="G574" t="s">
        <v>1567</v>
      </c>
      <c r="H574" t="s">
        <v>2073</v>
      </c>
      <c r="I574" t="s">
        <v>2076</v>
      </c>
    </row>
    <row r="575" spans="1:9">
      <c r="A575" t="str">
        <f>"0103852 "</f>
        <v xml:space="preserve">0103852 </v>
      </c>
      <c r="B575" t="s">
        <v>1567</v>
      </c>
      <c r="C575" t="s">
        <v>2077</v>
      </c>
      <c r="D575" t="s">
        <v>2078</v>
      </c>
      <c r="E575" t="s">
        <v>20</v>
      </c>
      <c r="F575" t="s">
        <v>1678</v>
      </c>
      <c r="G575" t="s">
        <v>1567</v>
      </c>
      <c r="H575" t="s">
        <v>2077</v>
      </c>
      <c r="I575" t="s">
        <v>2079</v>
      </c>
    </row>
    <row r="576" spans="1:9">
      <c r="A576" t="str">
        <f>"0103861 "</f>
        <v xml:space="preserve">0103861 </v>
      </c>
      <c r="B576" t="s">
        <v>1567</v>
      </c>
      <c r="C576" t="s">
        <v>2080</v>
      </c>
      <c r="D576" t="s">
        <v>2081</v>
      </c>
      <c r="E576">
        <v>1</v>
      </c>
      <c r="F576" t="s">
        <v>2082</v>
      </c>
      <c r="G576" t="s">
        <v>1567</v>
      </c>
      <c r="H576" t="s">
        <v>2080</v>
      </c>
      <c r="I576" t="s">
        <v>2083</v>
      </c>
    </row>
    <row r="577" spans="1:9">
      <c r="A577" t="str">
        <f>"0103868 "</f>
        <v xml:space="preserve">0103868 </v>
      </c>
      <c r="B577" t="s">
        <v>1567</v>
      </c>
      <c r="C577" t="s">
        <v>2084</v>
      </c>
      <c r="D577" t="s">
        <v>2085</v>
      </c>
      <c r="E577">
        <v>1</v>
      </c>
      <c r="F577" t="s">
        <v>1629</v>
      </c>
      <c r="G577" t="s">
        <v>1567</v>
      </c>
      <c r="H577" t="s">
        <v>2084</v>
      </c>
      <c r="I577" t="s">
        <v>2086</v>
      </c>
    </row>
    <row r="578" spans="1:9">
      <c r="A578" t="str">
        <f>"0103875 "</f>
        <v xml:space="preserve">0103875 </v>
      </c>
      <c r="B578" t="s">
        <v>1567</v>
      </c>
      <c r="C578" t="s">
        <v>2087</v>
      </c>
      <c r="D578" t="s">
        <v>2088</v>
      </c>
      <c r="E578">
        <v>2</v>
      </c>
      <c r="F578" t="s">
        <v>2089</v>
      </c>
      <c r="G578" t="s">
        <v>1567</v>
      </c>
      <c r="H578" t="s">
        <v>2087</v>
      </c>
      <c r="I578" t="s">
        <v>2090</v>
      </c>
    </row>
    <row r="579" spans="1:9">
      <c r="A579" t="str">
        <f>"0103877 "</f>
        <v xml:space="preserve">0103877 </v>
      </c>
      <c r="B579" t="s">
        <v>1567</v>
      </c>
      <c r="C579" t="s">
        <v>2091</v>
      </c>
      <c r="D579" t="s">
        <v>2092</v>
      </c>
      <c r="E579">
        <v>3</v>
      </c>
      <c r="F579" t="s">
        <v>2093</v>
      </c>
      <c r="G579" t="s">
        <v>1567</v>
      </c>
      <c r="H579" t="s">
        <v>2091</v>
      </c>
      <c r="I579" t="s">
        <v>2094</v>
      </c>
    </row>
    <row r="580" spans="1:9">
      <c r="A580" t="str">
        <f>"0103879 "</f>
        <v xml:space="preserve">0103879 </v>
      </c>
      <c r="B580" t="s">
        <v>1567</v>
      </c>
      <c r="C580" t="s">
        <v>2095</v>
      </c>
      <c r="D580" t="s">
        <v>2096</v>
      </c>
      <c r="E580">
        <v>2</v>
      </c>
      <c r="F580" t="s">
        <v>1698</v>
      </c>
      <c r="G580" t="s">
        <v>1567</v>
      </c>
      <c r="H580" t="s">
        <v>2095</v>
      </c>
      <c r="I580" t="s">
        <v>2097</v>
      </c>
    </row>
    <row r="581" spans="1:9">
      <c r="A581" t="str">
        <f>"0103891 "</f>
        <v xml:space="preserve">0103891 </v>
      </c>
      <c r="B581" t="s">
        <v>1567</v>
      </c>
      <c r="C581" t="s">
        <v>2098</v>
      </c>
      <c r="D581" t="s">
        <v>2099</v>
      </c>
      <c r="E581">
        <v>1</v>
      </c>
      <c r="F581" t="s">
        <v>1746</v>
      </c>
      <c r="G581" t="s">
        <v>1567</v>
      </c>
      <c r="H581" t="s">
        <v>2098</v>
      </c>
      <c r="I581" t="s">
        <v>2100</v>
      </c>
    </row>
    <row r="582" spans="1:9">
      <c r="A582" t="str">
        <f>"0103905 "</f>
        <v xml:space="preserve">0103905 </v>
      </c>
      <c r="B582" t="s">
        <v>1567</v>
      </c>
      <c r="C582" t="s">
        <v>2101</v>
      </c>
      <c r="D582" t="s">
        <v>2102</v>
      </c>
      <c r="E582">
        <v>4</v>
      </c>
      <c r="F582" t="s">
        <v>2103</v>
      </c>
      <c r="G582" t="s">
        <v>1567</v>
      </c>
      <c r="H582" t="s">
        <v>2101</v>
      </c>
      <c r="I582" t="s">
        <v>2104</v>
      </c>
    </row>
    <row r="583" spans="1:9">
      <c r="A583" t="str">
        <f>"0103906 "</f>
        <v xml:space="preserve">0103906 </v>
      </c>
      <c r="B583" t="s">
        <v>1567</v>
      </c>
      <c r="C583" t="s">
        <v>2105</v>
      </c>
      <c r="D583" t="s">
        <v>2106</v>
      </c>
      <c r="E583">
        <v>1</v>
      </c>
      <c r="F583" t="s">
        <v>2107</v>
      </c>
      <c r="G583" t="s">
        <v>1567</v>
      </c>
      <c r="H583" t="s">
        <v>2105</v>
      </c>
      <c r="I583" t="s">
        <v>2108</v>
      </c>
    </row>
    <row r="584" spans="1:9">
      <c r="A584" t="str">
        <f>"0103910 "</f>
        <v xml:space="preserve">0103910 </v>
      </c>
      <c r="B584" t="s">
        <v>1567</v>
      </c>
      <c r="C584" t="s">
        <v>2109</v>
      </c>
      <c r="D584" t="s">
        <v>2110</v>
      </c>
      <c r="E584">
        <v>2</v>
      </c>
      <c r="F584" t="s">
        <v>2111</v>
      </c>
      <c r="G584" t="s">
        <v>1567</v>
      </c>
      <c r="H584" t="s">
        <v>2109</v>
      </c>
      <c r="I584" t="s">
        <v>2112</v>
      </c>
    </row>
    <row r="585" spans="1:9">
      <c r="A585" t="str">
        <f>"0103911 "</f>
        <v xml:space="preserve">0103911 </v>
      </c>
      <c r="B585" t="s">
        <v>1567</v>
      </c>
      <c r="C585" t="s">
        <v>2113</v>
      </c>
      <c r="D585" t="s">
        <v>2114</v>
      </c>
      <c r="E585">
        <v>4</v>
      </c>
      <c r="F585" t="s">
        <v>2115</v>
      </c>
      <c r="G585" t="s">
        <v>1567</v>
      </c>
      <c r="H585" t="s">
        <v>2113</v>
      </c>
      <c r="I585" t="s">
        <v>2116</v>
      </c>
    </row>
    <row r="586" spans="1:9">
      <c r="A586" t="str">
        <f>"0103914 "</f>
        <v xml:space="preserve">0103914 </v>
      </c>
      <c r="B586" t="s">
        <v>1567</v>
      </c>
      <c r="C586" t="s">
        <v>2117</v>
      </c>
      <c r="D586" t="s">
        <v>2118</v>
      </c>
      <c r="E586">
        <v>1</v>
      </c>
      <c r="F586" t="s">
        <v>2119</v>
      </c>
      <c r="G586" t="s">
        <v>1567</v>
      </c>
      <c r="H586" t="s">
        <v>2117</v>
      </c>
      <c r="I586" t="s">
        <v>2120</v>
      </c>
    </row>
    <row r="587" spans="1:9">
      <c r="A587" t="str">
        <f>"0103924 "</f>
        <v xml:space="preserve">0103924 </v>
      </c>
      <c r="B587" t="s">
        <v>1567</v>
      </c>
      <c r="C587" t="s">
        <v>2121</v>
      </c>
      <c r="D587" t="s">
        <v>2122</v>
      </c>
      <c r="E587" t="s">
        <v>20</v>
      </c>
      <c r="F587" t="s">
        <v>2123</v>
      </c>
      <c r="G587" t="s">
        <v>1567</v>
      </c>
      <c r="H587" t="s">
        <v>2121</v>
      </c>
      <c r="I587" t="s">
        <v>2124</v>
      </c>
    </row>
    <row r="588" spans="1:9">
      <c r="A588" t="str">
        <f>"0103936 "</f>
        <v xml:space="preserve">0103936 </v>
      </c>
      <c r="B588" t="s">
        <v>1567</v>
      </c>
      <c r="C588" t="s">
        <v>2125</v>
      </c>
      <c r="D588" t="s">
        <v>2126</v>
      </c>
      <c r="E588">
        <v>4</v>
      </c>
      <c r="F588" t="s">
        <v>2127</v>
      </c>
      <c r="G588" t="s">
        <v>1567</v>
      </c>
      <c r="H588" t="s">
        <v>2125</v>
      </c>
      <c r="I588" t="s">
        <v>2128</v>
      </c>
    </row>
    <row r="589" spans="1:9">
      <c r="A589" t="str">
        <f>"0153110 "</f>
        <v xml:space="preserve">0153110 </v>
      </c>
      <c r="B589" t="s">
        <v>1567</v>
      </c>
      <c r="C589" t="s">
        <v>2129</v>
      </c>
      <c r="D589" t="s">
        <v>2130</v>
      </c>
      <c r="E589">
        <v>1</v>
      </c>
      <c r="F589" t="s">
        <v>2131</v>
      </c>
      <c r="G589" t="s">
        <v>1567</v>
      </c>
      <c r="H589" t="s">
        <v>2129</v>
      </c>
      <c r="I589" t="s">
        <v>2132</v>
      </c>
    </row>
    <row r="590" spans="1:9">
      <c r="A590" t="str">
        <f>"0103942 "</f>
        <v xml:space="preserve">0103942 </v>
      </c>
      <c r="B590" t="s">
        <v>1567</v>
      </c>
      <c r="C590" t="s">
        <v>2133</v>
      </c>
      <c r="D590" t="s">
        <v>2134</v>
      </c>
      <c r="E590">
        <v>1</v>
      </c>
      <c r="F590" t="s">
        <v>2135</v>
      </c>
      <c r="G590" t="s">
        <v>1567</v>
      </c>
      <c r="H590" t="s">
        <v>2133</v>
      </c>
      <c r="I590" t="s">
        <v>2136</v>
      </c>
    </row>
    <row r="591" spans="1:9">
      <c r="A591" t="str">
        <f>"0153113 "</f>
        <v xml:space="preserve">0153113 </v>
      </c>
      <c r="B591" t="s">
        <v>1567</v>
      </c>
      <c r="C591" t="s">
        <v>2137</v>
      </c>
      <c r="D591" t="s">
        <v>2138</v>
      </c>
      <c r="E591">
        <v>1</v>
      </c>
      <c r="F591" t="s">
        <v>2139</v>
      </c>
      <c r="G591" t="s">
        <v>1567</v>
      </c>
      <c r="H591" t="s">
        <v>2137</v>
      </c>
      <c r="I591" t="s">
        <v>2140</v>
      </c>
    </row>
    <row r="592" spans="1:9">
      <c r="A592" t="str">
        <f>"0103948 "</f>
        <v xml:space="preserve">0103948 </v>
      </c>
      <c r="B592" t="s">
        <v>1567</v>
      </c>
      <c r="C592" t="s">
        <v>2141</v>
      </c>
      <c r="D592" t="s">
        <v>2142</v>
      </c>
      <c r="E592">
        <v>3</v>
      </c>
      <c r="F592" t="s">
        <v>2143</v>
      </c>
      <c r="G592" t="s">
        <v>1567</v>
      </c>
      <c r="H592" t="s">
        <v>2141</v>
      </c>
      <c r="I592" t="s">
        <v>2144</v>
      </c>
    </row>
    <row r="593" spans="1:9">
      <c r="A593" t="str">
        <f>"0103949 "</f>
        <v xml:space="preserve">0103949 </v>
      </c>
      <c r="B593" t="s">
        <v>1567</v>
      </c>
      <c r="C593" t="s">
        <v>2145</v>
      </c>
      <c r="D593" t="s">
        <v>2146</v>
      </c>
      <c r="E593">
        <v>1</v>
      </c>
      <c r="F593" t="s">
        <v>2147</v>
      </c>
      <c r="G593" t="s">
        <v>1567</v>
      </c>
      <c r="H593" t="s">
        <v>2145</v>
      </c>
      <c r="I593" t="s">
        <v>2148</v>
      </c>
    </row>
    <row r="594" spans="1:9">
      <c r="A594" t="str">
        <f>"0103952 "</f>
        <v xml:space="preserve">0103952 </v>
      </c>
      <c r="B594" t="s">
        <v>1567</v>
      </c>
      <c r="C594" t="s">
        <v>2149</v>
      </c>
      <c r="D594" t="s">
        <v>2150</v>
      </c>
      <c r="E594">
        <v>2</v>
      </c>
      <c r="F594" t="s">
        <v>2151</v>
      </c>
      <c r="G594" t="s">
        <v>1567</v>
      </c>
      <c r="H594" t="s">
        <v>2149</v>
      </c>
      <c r="I594" t="s">
        <v>2152</v>
      </c>
    </row>
    <row r="595" spans="1:9">
      <c r="A595" t="str">
        <f>"0137382 "</f>
        <v xml:space="preserve">0137382 </v>
      </c>
      <c r="B595" t="s">
        <v>1567</v>
      </c>
      <c r="C595" t="s">
        <v>2153</v>
      </c>
      <c r="D595" t="s">
        <v>2154</v>
      </c>
      <c r="E595">
        <v>1</v>
      </c>
      <c r="F595" t="s">
        <v>2155</v>
      </c>
      <c r="G595" t="s">
        <v>1567</v>
      </c>
      <c r="H595" t="s">
        <v>2153</v>
      </c>
      <c r="I595" t="s">
        <v>2156</v>
      </c>
    </row>
    <row r="596" spans="1:9">
      <c r="A596" t="str">
        <f>"0103957 "</f>
        <v xml:space="preserve">0103957 </v>
      </c>
      <c r="B596" t="s">
        <v>1567</v>
      </c>
      <c r="C596" t="s">
        <v>2157</v>
      </c>
      <c r="D596" t="s">
        <v>2158</v>
      </c>
      <c r="E596">
        <v>1</v>
      </c>
      <c r="F596" t="s">
        <v>2159</v>
      </c>
      <c r="G596" t="s">
        <v>1567</v>
      </c>
      <c r="H596" t="s">
        <v>2157</v>
      </c>
      <c r="I596" t="s">
        <v>2160</v>
      </c>
    </row>
    <row r="597" spans="1:9">
      <c r="A597" t="str">
        <f>"0103967 "</f>
        <v xml:space="preserve">0103967 </v>
      </c>
      <c r="B597" t="s">
        <v>1567</v>
      </c>
      <c r="C597" t="s">
        <v>2161</v>
      </c>
      <c r="D597" t="s">
        <v>2162</v>
      </c>
      <c r="E597">
        <v>4</v>
      </c>
      <c r="F597" t="s">
        <v>2163</v>
      </c>
      <c r="G597" t="s">
        <v>1567</v>
      </c>
      <c r="H597" t="s">
        <v>2161</v>
      </c>
      <c r="I597" t="s">
        <v>2164</v>
      </c>
    </row>
    <row r="598" spans="1:9">
      <c r="A598" t="str">
        <f>"0103990 "</f>
        <v xml:space="preserve">0103990 </v>
      </c>
      <c r="B598" t="s">
        <v>1567</v>
      </c>
      <c r="C598" t="s">
        <v>2165</v>
      </c>
      <c r="D598" t="s">
        <v>2166</v>
      </c>
      <c r="E598">
        <v>1</v>
      </c>
      <c r="F598" t="s">
        <v>2167</v>
      </c>
      <c r="G598" t="s">
        <v>1567</v>
      </c>
      <c r="H598" t="s">
        <v>2165</v>
      </c>
      <c r="I598" t="s">
        <v>2168</v>
      </c>
    </row>
    <row r="599" spans="1:9">
      <c r="A599" t="str">
        <f>"0103997 "</f>
        <v xml:space="preserve">0103997 </v>
      </c>
      <c r="B599" t="s">
        <v>1567</v>
      </c>
      <c r="C599" t="s">
        <v>2169</v>
      </c>
      <c r="D599" t="s">
        <v>2170</v>
      </c>
      <c r="E599">
        <v>1</v>
      </c>
      <c r="F599" t="s">
        <v>2171</v>
      </c>
      <c r="G599" t="s">
        <v>1567</v>
      </c>
      <c r="H599" t="s">
        <v>2169</v>
      </c>
      <c r="I599" t="s">
        <v>2172</v>
      </c>
    </row>
    <row r="600" spans="1:9">
      <c r="A600" t="str">
        <f>"0104027 "</f>
        <v xml:space="preserve">0104027 </v>
      </c>
      <c r="B600" t="s">
        <v>1567</v>
      </c>
      <c r="C600" t="s">
        <v>2173</v>
      </c>
      <c r="D600" t="s">
        <v>2174</v>
      </c>
      <c r="E600" t="s">
        <v>20</v>
      </c>
      <c r="F600" t="s">
        <v>2175</v>
      </c>
      <c r="G600" t="s">
        <v>1567</v>
      </c>
      <c r="H600" t="s">
        <v>2173</v>
      </c>
      <c r="I600" t="s">
        <v>2176</v>
      </c>
    </row>
    <row r="601" spans="1:9">
      <c r="A601" t="str">
        <f>"0104060 "</f>
        <v xml:space="preserve">0104060 </v>
      </c>
      <c r="B601" t="s">
        <v>1567</v>
      </c>
      <c r="C601" t="s">
        <v>2177</v>
      </c>
      <c r="D601" t="s">
        <v>2178</v>
      </c>
      <c r="E601">
        <v>1</v>
      </c>
      <c r="F601" t="s">
        <v>2179</v>
      </c>
      <c r="G601" t="s">
        <v>1567</v>
      </c>
      <c r="H601" t="s">
        <v>2177</v>
      </c>
      <c r="I601" t="s">
        <v>2180</v>
      </c>
    </row>
    <row r="602" spans="1:9">
      <c r="A602" t="str">
        <f>"0104063 "</f>
        <v xml:space="preserve">0104063 </v>
      </c>
      <c r="B602" t="s">
        <v>1567</v>
      </c>
      <c r="C602" t="s">
        <v>2181</v>
      </c>
      <c r="D602" t="s">
        <v>2182</v>
      </c>
      <c r="E602">
        <v>1</v>
      </c>
      <c r="F602" t="s">
        <v>2183</v>
      </c>
      <c r="G602" t="s">
        <v>1567</v>
      </c>
      <c r="H602" t="s">
        <v>2181</v>
      </c>
      <c r="I602" t="s">
        <v>2184</v>
      </c>
    </row>
    <row r="603" spans="1:9">
      <c r="A603" t="str">
        <f>"0104093 "</f>
        <v xml:space="preserve">0104093 </v>
      </c>
      <c r="B603" t="s">
        <v>1567</v>
      </c>
      <c r="C603" t="s">
        <v>2185</v>
      </c>
      <c r="D603" t="s">
        <v>2186</v>
      </c>
      <c r="E603">
        <v>1</v>
      </c>
      <c r="F603" t="s">
        <v>2187</v>
      </c>
      <c r="G603" t="s">
        <v>1567</v>
      </c>
      <c r="H603" t="s">
        <v>2185</v>
      </c>
      <c r="I603" t="s">
        <v>2188</v>
      </c>
    </row>
    <row r="604" spans="1:9">
      <c r="A604" t="str">
        <f>"0104121 "</f>
        <v xml:space="preserve">0104121 </v>
      </c>
      <c r="B604" t="s">
        <v>1567</v>
      </c>
      <c r="C604" t="s">
        <v>2189</v>
      </c>
      <c r="D604" t="s">
        <v>2190</v>
      </c>
      <c r="E604">
        <v>1</v>
      </c>
      <c r="F604" t="s">
        <v>1980</v>
      </c>
      <c r="G604" t="s">
        <v>1567</v>
      </c>
      <c r="H604" t="s">
        <v>2189</v>
      </c>
      <c r="I604" t="s">
        <v>2191</v>
      </c>
    </row>
    <row r="605" spans="1:9">
      <c r="A605" t="str">
        <f>"0104148 "</f>
        <v xml:space="preserve">0104148 </v>
      </c>
      <c r="B605" t="s">
        <v>1567</v>
      </c>
      <c r="C605" t="s">
        <v>2192</v>
      </c>
      <c r="D605" t="s">
        <v>2193</v>
      </c>
      <c r="E605">
        <v>1</v>
      </c>
      <c r="F605" t="s">
        <v>2194</v>
      </c>
      <c r="G605" t="s">
        <v>1567</v>
      </c>
      <c r="H605" t="s">
        <v>2192</v>
      </c>
      <c r="I605" t="s">
        <v>2195</v>
      </c>
    </row>
    <row r="606" spans="1:9">
      <c r="A606" t="str">
        <f>"0104159 "</f>
        <v xml:space="preserve">0104159 </v>
      </c>
      <c r="B606" t="s">
        <v>1567</v>
      </c>
      <c r="C606" t="s">
        <v>2196</v>
      </c>
      <c r="D606" t="s">
        <v>2197</v>
      </c>
      <c r="E606">
        <v>3</v>
      </c>
      <c r="F606" t="s">
        <v>1773</v>
      </c>
      <c r="G606" t="s">
        <v>1567</v>
      </c>
      <c r="H606" t="s">
        <v>2196</v>
      </c>
      <c r="I606" t="s">
        <v>2198</v>
      </c>
    </row>
    <row r="607" spans="1:9">
      <c r="A607" t="str">
        <f>"0104172 "</f>
        <v xml:space="preserve">0104172 </v>
      </c>
      <c r="B607" t="s">
        <v>1567</v>
      </c>
      <c r="C607" t="s">
        <v>2199</v>
      </c>
      <c r="D607" t="s">
        <v>2200</v>
      </c>
      <c r="E607">
        <v>2</v>
      </c>
      <c r="F607" t="s">
        <v>163</v>
      </c>
      <c r="G607" t="s">
        <v>1567</v>
      </c>
      <c r="H607" t="s">
        <v>2199</v>
      </c>
      <c r="I607" t="s">
        <v>2201</v>
      </c>
    </row>
    <row r="608" spans="1:9">
      <c r="A608" t="str">
        <f>"0104175 "</f>
        <v xml:space="preserve">0104175 </v>
      </c>
      <c r="B608" t="s">
        <v>1567</v>
      </c>
      <c r="C608" t="s">
        <v>2202</v>
      </c>
      <c r="D608" t="s">
        <v>2203</v>
      </c>
      <c r="E608">
        <v>1</v>
      </c>
      <c r="F608" t="s">
        <v>2204</v>
      </c>
      <c r="G608" t="s">
        <v>1567</v>
      </c>
      <c r="H608" t="s">
        <v>2202</v>
      </c>
      <c r="I608" t="s">
        <v>2205</v>
      </c>
    </row>
    <row r="609" spans="1:9">
      <c r="A609" t="str">
        <f>"0104185 "</f>
        <v xml:space="preserve">0104185 </v>
      </c>
      <c r="B609" t="s">
        <v>1567</v>
      </c>
      <c r="C609" t="s">
        <v>2206</v>
      </c>
      <c r="D609" t="s">
        <v>2207</v>
      </c>
      <c r="E609">
        <v>1</v>
      </c>
      <c r="F609" t="s">
        <v>2208</v>
      </c>
      <c r="G609" t="s">
        <v>1567</v>
      </c>
      <c r="H609" t="s">
        <v>2206</v>
      </c>
      <c r="I609" t="s">
        <v>2209</v>
      </c>
    </row>
    <row r="610" spans="1:9">
      <c r="A610" t="str">
        <f>"0104189 "</f>
        <v xml:space="preserve">0104189 </v>
      </c>
      <c r="B610" t="s">
        <v>1567</v>
      </c>
      <c r="C610" t="s">
        <v>2210</v>
      </c>
      <c r="D610" t="s">
        <v>2211</v>
      </c>
      <c r="E610">
        <v>1</v>
      </c>
      <c r="F610" t="s">
        <v>2212</v>
      </c>
      <c r="G610" t="s">
        <v>1567</v>
      </c>
      <c r="H610" t="s">
        <v>2210</v>
      </c>
      <c r="I610" t="s">
        <v>2213</v>
      </c>
    </row>
    <row r="611" spans="1:9">
      <c r="A611" t="str">
        <f>"0104192 "</f>
        <v xml:space="preserve">0104192 </v>
      </c>
      <c r="B611" t="s">
        <v>1567</v>
      </c>
      <c r="C611" t="s">
        <v>2214</v>
      </c>
      <c r="D611" t="s">
        <v>2215</v>
      </c>
      <c r="E611">
        <v>1</v>
      </c>
      <c r="F611" t="s">
        <v>2089</v>
      </c>
      <c r="G611" t="s">
        <v>1567</v>
      </c>
      <c r="H611" t="s">
        <v>2214</v>
      </c>
      <c r="I611" t="s">
        <v>2216</v>
      </c>
    </row>
    <row r="612" spans="1:9">
      <c r="A612" t="str">
        <f>"0104195 "</f>
        <v xml:space="preserve">0104195 </v>
      </c>
      <c r="B612" t="s">
        <v>1567</v>
      </c>
      <c r="C612" t="s">
        <v>2217</v>
      </c>
      <c r="D612" t="s">
        <v>2218</v>
      </c>
      <c r="E612" t="s">
        <v>20</v>
      </c>
      <c r="F612" t="s">
        <v>2219</v>
      </c>
      <c r="G612" t="s">
        <v>1567</v>
      </c>
      <c r="H612" t="s">
        <v>2217</v>
      </c>
      <c r="I612" t="s">
        <v>2220</v>
      </c>
    </row>
    <row r="613" spans="1:9">
      <c r="A613" t="str">
        <f>"0104196 "</f>
        <v xml:space="preserve">0104196 </v>
      </c>
      <c r="B613" t="s">
        <v>1567</v>
      </c>
      <c r="C613" t="s">
        <v>2221</v>
      </c>
      <c r="D613" t="s">
        <v>2222</v>
      </c>
      <c r="E613">
        <v>1</v>
      </c>
      <c r="F613" t="s">
        <v>2223</v>
      </c>
      <c r="G613" t="s">
        <v>1567</v>
      </c>
      <c r="H613" t="s">
        <v>2221</v>
      </c>
      <c r="I613" t="s">
        <v>2224</v>
      </c>
    </row>
    <row r="614" spans="1:9">
      <c r="A614" t="str">
        <f>"0104198 "</f>
        <v xml:space="preserve">0104198 </v>
      </c>
      <c r="B614" t="s">
        <v>1567</v>
      </c>
      <c r="C614" t="s">
        <v>2225</v>
      </c>
      <c r="D614" t="s">
        <v>2226</v>
      </c>
      <c r="E614" t="s">
        <v>20</v>
      </c>
      <c r="F614" t="s">
        <v>2227</v>
      </c>
      <c r="G614" t="s">
        <v>1567</v>
      </c>
      <c r="H614" t="s">
        <v>2225</v>
      </c>
      <c r="I614" t="s">
        <v>2228</v>
      </c>
    </row>
    <row r="615" spans="1:9">
      <c r="A615" t="str">
        <f>"0104201 "</f>
        <v xml:space="preserve">0104201 </v>
      </c>
      <c r="B615" t="s">
        <v>1567</v>
      </c>
      <c r="C615" t="s">
        <v>2229</v>
      </c>
      <c r="D615" t="s">
        <v>2230</v>
      </c>
      <c r="E615">
        <v>1</v>
      </c>
      <c r="F615" t="s">
        <v>2231</v>
      </c>
      <c r="G615" t="s">
        <v>1567</v>
      </c>
      <c r="H615" t="s">
        <v>2229</v>
      </c>
      <c r="I615" t="s">
        <v>2232</v>
      </c>
    </row>
    <row r="616" spans="1:9">
      <c r="A616" t="str">
        <f>"0104212 "</f>
        <v xml:space="preserve">0104212 </v>
      </c>
      <c r="B616" t="s">
        <v>1567</v>
      </c>
      <c r="C616" t="s">
        <v>2233</v>
      </c>
      <c r="D616" t="s">
        <v>2234</v>
      </c>
      <c r="E616">
        <v>1</v>
      </c>
      <c r="F616" t="s">
        <v>280</v>
      </c>
      <c r="G616" t="s">
        <v>1567</v>
      </c>
      <c r="H616" t="s">
        <v>2233</v>
      </c>
      <c r="I616" t="s">
        <v>2235</v>
      </c>
    </row>
    <row r="617" spans="1:9">
      <c r="A617" t="str">
        <f>"0104216 "</f>
        <v xml:space="preserve">0104216 </v>
      </c>
      <c r="B617" t="s">
        <v>1567</v>
      </c>
      <c r="C617" t="s">
        <v>2236</v>
      </c>
      <c r="D617" t="s">
        <v>2237</v>
      </c>
      <c r="E617">
        <v>2</v>
      </c>
      <c r="F617" t="s">
        <v>2238</v>
      </c>
      <c r="G617" t="s">
        <v>1567</v>
      </c>
      <c r="H617" t="s">
        <v>2236</v>
      </c>
      <c r="I617" t="s">
        <v>2239</v>
      </c>
    </row>
    <row r="618" spans="1:9">
      <c r="A618" t="str">
        <f>"0104219 "</f>
        <v xml:space="preserve">0104219 </v>
      </c>
      <c r="B618" t="s">
        <v>1567</v>
      </c>
      <c r="C618" t="s">
        <v>2240</v>
      </c>
      <c r="D618" t="s">
        <v>2241</v>
      </c>
      <c r="E618">
        <v>1</v>
      </c>
      <c r="F618" t="s">
        <v>2242</v>
      </c>
      <c r="G618" t="s">
        <v>1567</v>
      </c>
      <c r="H618" t="s">
        <v>2240</v>
      </c>
      <c r="I618" t="s">
        <v>2243</v>
      </c>
    </row>
    <row r="619" spans="1:9">
      <c r="A619" t="str">
        <f>"0104226 "</f>
        <v xml:space="preserve">0104226 </v>
      </c>
      <c r="B619" t="s">
        <v>1567</v>
      </c>
      <c r="C619" t="s">
        <v>2244</v>
      </c>
      <c r="D619" t="s">
        <v>2245</v>
      </c>
      <c r="E619" t="s">
        <v>20</v>
      </c>
      <c r="F619" t="s">
        <v>2246</v>
      </c>
      <c r="G619" t="s">
        <v>1567</v>
      </c>
      <c r="H619" t="s">
        <v>2244</v>
      </c>
      <c r="I619" t="s">
        <v>2247</v>
      </c>
    </row>
    <row r="620" spans="1:9">
      <c r="A620" t="str">
        <f>"0104229 "</f>
        <v xml:space="preserve">0104229 </v>
      </c>
      <c r="B620" t="s">
        <v>1567</v>
      </c>
      <c r="C620" t="s">
        <v>2248</v>
      </c>
      <c r="D620" t="s">
        <v>2249</v>
      </c>
      <c r="E620">
        <v>1</v>
      </c>
      <c r="F620" t="s">
        <v>2250</v>
      </c>
      <c r="G620" t="s">
        <v>1567</v>
      </c>
      <c r="H620" t="s">
        <v>2248</v>
      </c>
      <c r="I620" t="s">
        <v>2251</v>
      </c>
    </row>
    <row r="621" spans="1:9">
      <c r="A621" t="str">
        <f>"0104232 "</f>
        <v xml:space="preserve">0104232 </v>
      </c>
      <c r="B621" t="s">
        <v>1567</v>
      </c>
      <c r="C621" t="s">
        <v>2252</v>
      </c>
      <c r="D621" t="s">
        <v>2253</v>
      </c>
      <c r="E621">
        <v>3</v>
      </c>
      <c r="F621" t="s">
        <v>2254</v>
      </c>
      <c r="G621" t="s">
        <v>1567</v>
      </c>
      <c r="H621" t="s">
        <v>2252</v>
      </c>
      <c r="I621" t="s">
        <v>2255</v>
      </c>
    </row>
    <row r="622" spans="1:9">
      <c r="A622" t="str">
        <f>"0104236 "</f>
        <v xml:space="preserve">0104236 </v>
      </c>
      <c r="B622" t="s">
        <v>1567</v>
      </c>
      <c r="C622" t="s">
        <v>2256</v>
      </c>
      <c r="D622" t="s">
        <v>2257</v>
      </c>
      <c r="E622">
        <v>2</v>
      </c>
      <c r="F622" t="s">
        <v>2258</v>
      </c>
      <c r="G622" t="s">
        <v>1567</v>
      </c>
      <c r="H622" t="s">
        <v>2256</v>
      </c>
      <c r="I622" t="s">
        <v>2259</v>
      </c>
    </row>
    <row r="623" spans="1:9">
      <c r="A623" t="str">
        <f>"0104238 "</f>
        <v xml:space="preserve">0104238 </v>
      </c>
      <c r="B623" t="s">
        <v>1567</v>
      </c>
      <c r="C623" t="s">
        <v>2260</v>
      </c>
      <c r="D623" t="s">
        <v>2261</v>
      </c>
      <c r="E623">
        <v>1</v>
      </c>
      <c r="F623" t="s">
        <v>2262</v>
      </c>
      <c r="G623" t="s">
        <v>1567</v>
      </c>
      <c r="H623" t="s">
        <v>2260</v>
      </c>
      <c r="I623" t="s">
        <v>2263</v>
      </c>
    </row>
    <row r="624" spans="1:9">
      <c r="A624" t="str">
        <f>"0104240 "</f>
        <v xml:space="preserve">0104240 </v>
      </c>
      <c r="B624" t="s">
        <v>1567</v>
      </c>
      <c r="C624" t="s">
        <v>2264</v>
      </c>
      <c r="D624" t="s">
        <v>2265</v>
      </c>
      <c r="E624">
        <v>1</v>
      </c>
      <c r="F624" t="s">
        <v>2266</v>
      </c>
      <c r="G624" t="s">
        <v>1567</v>
      </c>
      <c r="H624" t="s">
        <v>2264</v>
      </c>
      <c r="I624" t="s">
        <v>2267</v>
      </c>
    </row>
    <row r="625" spans="1:9">
      <c r="A625" t="str">
        <f>"0104241 "</f>
        <v xml:space="preserve">0104241 </v>
      </c>
      <c r="B625" t="s">
        <v>1567</v>
      </c>
      <c r="C625" t="s">
        <v>2268</v>
      </c>
      <c r="D625" t="s">
        <v>2269</v>
      </c>
      <c r="E625">
        <v>2</v>
      </c>
      <c r="F625" t="s">
        <v>2270</v>
      </c>
      <c r="G625" t="s">
        <v>1567</v>
      </c>
      <c r="H625" t="s">
        <v>2268</v>
      </c>
      <c r="I625" t="s">
        <v>2271</v>
      </c>
    </row>
    <row r="626" spans="1:9">
      <c r="A626" t="str">
        <f>"0104249 "</f>
        <v xml:space="preserve">0104249 </v>
      </c>
      <c r="B626" t="s">
        <v>1567</v>
      </c>
      <c r="C626" t="s">
        <v>2272</v>
      </c>
      <c r="D626" t="s">
        <v>2273</v>
      </c>
      <c r="E626" t="s">
        <v>20</v>
      </c>
      <c r="F626" t="s">
        <v>2274</v>
      </c>
      <c r="G626" t="s">
        <v>1567</v>
      </c>
      <c r="H626" t="s">
        <v>2272</v>
      </c>
      <c r="I626" t="s">
        <v>2275</v>
      </c>
    </row>
    <row r="627" spans="1:9">
      <c r="A627" t="str">
        <f>"0104250 "</f>
        <v xml:space="preserve">0104250 </v>
      </c>
      <c r="B627" t="s">
        <v>1567</v>
      </c>
      <c r="C627" t="s">
        <v>2276</v>
      </c>
      <c r="D627" t="s">
        <v>2277</v>
      </c>
      <c r="E627" t="s">
        <v>20</v>
      </c>
      <c r="F627" t="s">
        <v>2278</v>
      </c>
      <c r="G627" t="s">
        <v>1567</v>
      </c>
      <c r="H627" t="s">
        <v>2276</v>
      </c>
      <c r="I627" t="s">
        <v>2279</v>
      </c>
    </row>
    <row r="628" spans="1:9">
      <c r="A628" t="str">
        <f>"0104251 "</f>
        <v xml:space="preserve">0104251 </v>
      </c>
      <c r="B628" t="s">
        <v>1567</v>
      </c>
      <c r="C628" t="s">
        <v>2280</v>
      </c>
      <c r="D628" t="s">
        <v>2281</v>
      </c>
      <c r="E628">
        <v>2</v>
      </c>
      <c r="F628" t="s">
        <v>1649</v>
      </c>
      <c r="G628" t="s">
        <v>1567</v>
      </c>
      <c r="H628" t="s">
        <v>2280</v>
      </c>
      <c r="I628" t="s">
        <v>2282</v>
      </c>
    </row>
    <row r="629" spans="1:9">
      <c r="A629" t="str">
        <f>"0104252 "</f>
        <v xml:space="preserve">0104252 </v>
      </c>
      <c r="B629" t="s">
        <v>1567</v>
      </c>
      <c r="C629" t="s">
        <v>2283</v>
      </c>
      <c r="D629" t="s">
        <v>2284</v>
      </c>
      <c r="E629">
        <v>2</v>
      </c>
      <c r="F629" t="s">
        <v>2285</v>
      </c>
      <c r="G629" t="s">
        <v>1567</v>
      </c>
      <c r="H629" t="s">
        <v>2283</v>
      </c>
      <c r="I629" t="s">
        <v>2286</v>
      </c>
    </row>
    <row r="630" spans="1:9">
      <c r="A630" t="str">
        <f>"0104253 "</f>
        <v xml:space="preserve">0104253 </v>
      </c>
      <c r="B630" t="s">
        <v>1567</v>
      </c>
      <c r="C630" t="s">
        <v>2287</v>
      </c>
      <c r="D630" t="s">
        <v>2288</v>
      </c>
      <c r="E630">
        <v>2</v>
      </c>
      <c r="F630" t="s">
        <v>2289</v>
      </c>
      <c r="G630" t="s">
        <v>1567</v>
      </c>
      <c r="H630" t="s">
        <v>2287</v>
      </c>
      <c r="I630" t="s">
        <v>2290</v>
      </c>
    </row>
    <row r="631" spans="1:9">
      <c r="A631" t="str">
        <f>"0104255 "</f>
        <v xml:space="preserve">0104255 </v>
      </c>
      <c r="B631" t="s">
        <v>1567</v>
      </c>
      <c r="C631" t="s">
        <v>2291</v>
      </c>
      <c r="D631" t="s">
        <v>2292</v>
      </c>
      <c r="E631">
        <v>1</v>
      </c>
      <c r="F631" t="s">
        <v>2293</v>
      </c>
      <c r="G631" t="s">
        <v>1567</v>
      </c>
      <c r="H631" t="s">
        <v>2291</v>
      </c>
      <c r="I631" t="s">
        <v>2294</v>
      </c>
    </row>
    <row r="632" spans="1:9">
      <c r="A632" t="str">
        <f>"0104256 "</f>
        <v xml:space="preserve">0104256 </v>
      </c>
      <c r="B632" t="s">
        <v>1567</v>
      </c>
      <c r="C632" t="s">
        <v>2295</v>
      </c>
      <c r="D632" t="s">
        <v>2296</v>
      </c>
      <c r="E632">
        <v>1</v>
      </c>
      <c r="F632" t="s">
        <v>2297</v>
      </c>
      <c r="G632" t="s">
        <v>1567</v>
      </c>
      <c r="H632" t="s">
        <v>2295</v>
      </c>
      <c r="I632" t="s">
        <v>2298</v>
      </c>
    </row>
    <row r="633" spans="1:9">
      <c r="A633" t="str">
        <f>"0104267 "</f>
        <v xml:space="preserve">0104267 </v>
      </c>
      <c r="B633" t="s">
        <v>1567</v>
      </c>
      <c r="C633" t="s">
        <v>2299</v>
      </c>
      <c r="D633" t="s">
        <v>2300</v>
      </c>
      <c r="E633">
        <v>1</v>
      </c>
      <c r="F633" t="s">
        <v>2301</v>
      </c>
      <c r="G633" t="s">
        <v>1567</v>
      </c>
      <c r="H633" t="s">
        <v>2299</v>
      </c>
      <c r="I633" t="s">
        <v>2302</v>
      </c>
    </row>
    <row r="634" spans="1:9">
      <c r="A634" t="str">
        <f>"0104271 "</f>
        <v xml:space="preserve">0104271 </v>
      </c>
      <c r="B634" t="s">
        <v>1567</v>
      </c>
      <c r="C634" t="s">
        <v>2303</v>
      </c>
      <c r="D634" t="s">
        <v>2304</v>
      </c>
      <c r="E634">
        <v>2</v>
      </c>
      <c r="F634" t="s">
        <v>2305</v>
      </c>
      <c r="G634" t="s">
        <v>1567</v>
      </c>
      <c r="H634" t="s">
        <v>2303</v>
      </c>
      <c r="I634" t="s">
        <v>2306</v>
      </c>
    </row>
    <row r="635" spans="1:9">
      <c r="A635" t="str">
        <f>"0104274 "</f>
        <v xml:space="preserve">0104274 </v>
      </c>
      <c r="B635" t="s">
        <v>1567</v>
      </c>
      <c r="C635" t="s">
        <v>2307</v>
      </c>
      <c r="D635" t="s">
        <v>2308</v>
      </c>
      <c r="E635">
        <v>1</v>
      </c>
      <c r="F635" t="s">
        <v>2309</v>
      </c>
      <c r="G635" t="s">
        <v>1567</v>
      </c>
      <c r="H635" t="s">
        <v>2307</v>
      </c>
      <c r="I635" t="s">
        <v>2310</v>
      </c>
    </row>
    <row r="636" spans="1:9">
      <c r="A636" t="str">
        <f>"0012178 "</f>
        <v xml:space="preserve">0012178 </v>
      </c>
      <c r="B636" t="s">
        <v>2311</v>
      </c>
      <c r="C636" t="s">
        <v>2312</v>
      </c>
      <c r="D636" t="s">
        <v>2313</v>
      </c>
      <c r="E636" t="s">
        <v>20</v>
      </c>
      <c r="F636" t="s">
        <v>2314</v>
      </c>
      <c r="G636" t="s">
        <v>2311</v>
      </c>
      <c r="H636" t="s">
        <v>2312</v>
      </c>
      <c r="I636" t="s">
        <v>2315</v>
      </c>
    </row>
    <row r="637" spans="1:9">
      <c r="A637" t="str">
        <f>"0012181 "</f>
        <v xml:space="preserve">0012181 </v>
      </c>
      <c r="B637" t="s">
        <v>2311</v>
      </c>
      <c r="C637" t="s">
        <v>2316</v>
      </c>
      <c r="D637" t="s">
        <v>2317</v>
      </c>
      <c r="E637" t="s">
        <v>20</v>
      </c>
      <c r="F637" t="s">
        <v>2318</v>
      </c>
      <c r="G637" t="s">
        <v>2311</v>
      </c>
      <c r="H637" t="s">
        <v>2316</v>
      </c>
      <c r="I637" t="s">
        <v>2319</v>
      </c>
    </row>
    <row r="638" spans="1:9">
      <c r="A638" t="str">
        <f>"0012180 "</f>
        <v xml:space="preserve">0012180 </v>
      </c>
      <c r="B638" t="s">
        <v>2311</v>
      </c>
      <c r="C638" t="s">
        <v>2320</v>
      </c>
      <c r="D638" t="s">
        <v>2321</v>
      </c>
      <c r="E638">
        <v>1</v>
      </c>
      <c r="F638" t="s">
        <v>2322</v>
      </c>
      <c r="G638" t="s">
        <v>2311</v>
      </c>
      <c r="H638" t="s">
        <v>2320</v>
      </c>
      <c r="I638" t="s">
        <v>2323</v>
      </c>
    </row>
    <row r="639" spans="1:9">
      <c r="A639" t="str">
        <f>"0012192 "</f>
        <v xml:space="preserve">0012192 </v>
      </c>
      <c r="B639" t="s">
        <v>2311</v>
      </c>
      <c r="C639" t="s">
        <v>2324</v>
      </c>
      <c r="D639" t="s">
        <v>2325</v>
      </c>
      <c r="E639" t="s">
        <v>20</v>
      </c>
      <c r="F639" t="s">
        <v>2326</v>
      </c>
      <c r="G639" t="s">
        <v>2311</v>
      </c>
      <c r="H639" t="s">
        <v>2324</v>
      </c>
      <c r="I639" t="s">
        <v>2327</v>
      </c>
    </row>
    <row r="640" spans="1:9">
      <c r="A640" t="str">
        <f>"0012185 "</f>
        <v xml:space="preserve">0012185 </v>
      </c>
      <c r="B640" t="s">
        <v>2311</v>
      </c>
      <c r="C640" t="s">
        <v>2328</v>
      </c>
      <c r="D640" t="s">
        <v>2329</v>
      </c>
      <c r="E640" t="s">
        <v>20</v>
      </c>
      <c r="F640" t="s">
        <v>2330</v>
      </c>
      <c r="G640" t="s">
        <v>2311</v>
      </c>
      <c r="H640" t="s">
        <v>2328</v>
      </c>
      <c r="I640" t="s">
        <v>2331</v>
      </c>
    </row>
    <row r="641" spans="1:9">
      <c r="A641" t="str">
        <f>"0012189 "</f>
        <v xml:space="preserve">0012189 </v>
      </c>
      <c r="B641" t="s">
        <v>2311</v>
      </c>
      <c r="C641" t="s">
        <v>2332</v>
      </c>
      <c r="D641" t="s">
        <v>2333</v>
      </c>
      <c r="E641">
        <v>4</v>
      </c>
      <c r="F641" t="s">
        <v>2334</v>
      </c>
      <c r="G641" t="s">
        <v>2311</v>
      </c>
      <c r="H641" t="s">
        <v>2332</v>
      </c>
      <c r="I641" t="s">
        <v>2335</v>
      </c>
    </row>
    <row r="642" spans="1:9">
      <c r="A642" t="str">
        <f>"0241254 "</f>
        <v xml:space="preserve">0241254 </v>
      </c>
      <c r="B642" t="s">
        <v>2311</v>
      </c>
      <c r="C642" t="s">
        <v>2336</v>
      </c>
      <c r="D642" t="s">
        <v>2337</v>
      </c>
      <c r="E642">
        <v>4</v>
      </c>
      <c r="F642" t="s">
        <v>2338</v>
      </c>
      <c r="G642" t="s">
        <v>2311</v>
      </c>
      <c r="H642" t="s">
        <v>2336</v>
      </c>
      <c r="I642" t="s">
        <v>2339</v>
      </c>
    </row>
    <row r="643" spans="1:9">
      <c r="A643" t="str">
        <f>"0241255 "</f>
        <v xml:space="preserve">0241255 </v>
      </c>
      <c r="B643" t="s">
        <v>2311</v>
      </c>
      <c r="C643" t="s">
        <v>2340</v>
      </c>
      <c r="D643" t="s">
        <v>2341</v>
      </c>
      <c r="E643" t="s">
        <v>20</v>
      </c>
      <c r="F643" t="s">
        <v>2342</v>
      </c>
      <c r="G643" t="s">
        <v>2311</v>
      </c>
      <c r="H643" t="s">
        <v>2340</v>
      </c>
      <c r="I643" t="s">
        <v>2343</v>
      </c>
    </row>
    <row r="644" spans="1:9">
      <c r="A644" t="str">
        <f>"0155857 "</f>
        <v xml:space="preserve">0155857 </v>
      </c>
      <c r="B644" t="s">
        <v>2311</v>
      </c>
      <c r="C644" t="s">
        <v>2344</v>
      </c>
      <c r="D644" t="s">
        <v>2345</v>
      </c>
      <c r="E644" t="s">
        <v>20</v>
      </c>
      <c r="F644" t="s">
        <v>2346</v>
      </c>
      <c r="G644" t="s">
        <v>2311</v>
      </c>
      <c r="H644" t="s">
        <v>2344</v>
      </c>
    </row>
    <row r="645" spans="1:9">
      <c r="A645" t="str">
        <f>"0155858 "</f>
        <v xml:space="preserve">0155858 </v>
      </c>
      <c r="B645" t="s">
        <v>2311</v>
      </c>
      <c r="C645" t="s">
        <v>2347</v>
      </c>
      <c r="D645" t="s">
        <v>2348</v>
      </c>
      <c r="E645" t="s">
        <v>20</v>
      </c>
      <c r="F645" t="s">
        <v>2349</v>
      </c>
      <c r="G645" t="s">
        <v>2311</v>
      </c>
      <c r="H645" t="s">
        <v>2347</v>
      </c>
    </row>
    <row r="646" spans="1:9">
      <c r="A646" t="str">
        <f>"0012193 "</f>
        <v xml:space="preserve">0012193 </v>
      </c>
      <c r="B646" t="s">
        <v>2311</v>
      </c>
      <c r="C646" t="s">
        <v>2350</v>
      </c>
      <c r="D646" t="s">
        <v>2351</v>
      </c>
      <c r="E646" t="s">
        <v>20</v>
      </c>
      <c r="F646" t="s">
        <v>2352</v>
      </c>
      <c r="G646" t="s">
        <v>2311</v>
      </c>
      <c r="H646" t="s">
        <v>2350</v>
      </c>
      <c r="I646" t="s">
        <v>2353</v>
      </c>
    </row>
    <row r="647" spans="1:9">
      <c r="A647" t="str">
        <f>"0012194 "</f>
        <v xml:space="preserve">0012194 </v>
      </c>
      <c r="B647" t="s">
        <v>2311</v>
      </c>
      <c r="C647" t="s">
        <v>2354</v>
      </c>
      <c r="D647" t="s">
        <v>2355</v>
      </c>
      <c r="E647" t="s">
        <v>20</v>
      </c>
      <c r="F647" t="s">
        <v>2356</v>
      </c>
      <c r="G647" t="s">
        <v>2311</v>
      </c>
      <c r="H647" t="s">
        <v>2354</v>
      </c>
      <c r="I647" t="s">
        <v>2357</v>
      </c>
    </row>
    <row r="648" spans="1:9">
      <c r="A648" t="str">
        <f>"0050902 "</f>
        <v xml:space="preserve">0050902 </v>
      </c>
      <c r="B648" t="s">
        <v>2358</v>
      </c>
      <c r="C648" t="s">
        <v>2359</v>
      </c>
      <c r="D648" t="s">
        <v>2360</v>
      </c>
      <c r="E648">
        <v>1</v>
      </c>
      <c r="F648" t="s">
        <v>2361</v>
      </c>
      <c r="G648" t="s">
        <v>2362</v>
      </c>
      <c r="H648" t="s">
        <v>2359</v>
      </c>
      <c r="I648" t="s">
        <v>2363</v>
      </c>
    </row>
    <row r="649" spans="1:9">
      <c r="A649" t="str">
        <f>"0015828 "</f>
        <v xml:space="preserve">0015828 </v>
      </c>
      <c r="B649" t="s">
        <v>2358</v>
      </c>
      <c r="C649" t="s">
        <v>2364</v>
      </c>
      <c r="D649" t="s">
        <v>2365</v>
      </c>
      <c r="E649">
        <v>5</v>
      </c>
      <c r="F649" t="s">
        <v>2366</v>
      </c>
      <c r="G649" t="s">
        <v>2362</v>
      </c>
      <c r="H649" t="s">
        <v>2364</v>
      </c>
      <c r="I649" t="s">
        <v>2367</v>
      </c>
    </row>
    <row r="650" spans="1:9">
      <c r="A650" t="str">
        <f>"0015829 "</f>
        <v xml:space="preserve">0015829 </v>
      </c>
      <c r="B650" t="s">
        <v>2358</v>
      </c>
      <c r="C650" t="s">
        <v>2368</v>
      </c>
      <c r="D650" t="s">
        <v>2369</v>
      </c>
      <c r="E650">
        <v>1</v>
      </c>
      <c r="F650" t="s">
        <v>2370</v>
      </c>
      <c r="G650" t="s">
        <v>2362</v>
      </c>
      <c r="H650" t="s">
        <v>2368</v>
      </c>
      <c r="I650" t="s">
        <v>2371</v>
      </c>
    </row>
    <row r="651" spans="1:9">
      <c r="A651" t="str">
        <f>"0015833 "</f>
        <v xml:space="preserve">0015833 </v>
      </c>
      <c r="B651" t="s">
        <v>2358</v>
      </c>
      <c r="C651" t="s">
        <v>2372</v>
      </c>
      <c r="D651" t="s">
        <v>2373</v>
      </c>
      <c r="E651">
        <v>1</v>
      </c>
      <c r="F651" t="s">
        <v>2374</v>
      </c>
      <c r="G651" t="s">
        <v>2362</v>
      </c>
      <c r="H651" t="s">
        <v>2372</v>
      </c>
      <c r="I651" t="s">
        <v>2375</v>
      </c>
    </row>
    <row r="652" spans="1:9">
      <c r="A652" t="str">
        <f>"0015840 "</f>
        <v xml:space="preserve">0015840 </v>
      </c>
      <c r="B652" t="s">
        <v>2358</v>
      </c>
      <c r="C652" t="s">
        <v>2376</v>
      </c>
      <c r="D652" t="s">
        <v>2377</v>
      </c>
      <c r="E652">
        <v>1</v>
      </c>
      <c r="F652" t="s">
        <v>2378</v>
      </c>
      <c r="G652" t="s">
        <v>2362</v>
      </c>
      <c r="H652" t="s">
        <v>2376</v>
      </c>
      <c r="I652" t="s">
        <v>2379</v>
      </c>
    </row>
    <row r="653" spans="1:9">
      <c r="A653" t="str">
        <f>"0015842 "</f>
        <v xml:space="preserve">0015842 </v>
      </c>
      <c r="B653" t="s">
        <v>2358</v>
      </c>
      <c r="C653" t="s">
        <v>2380</v>
      </c>
      <c r="D653" t="s">
        <v>2381</v>
      </c>
      <c r="E653">
        <v>2</v>
      </c>
      <c r="F653" t="s">
        <v>2382</v>
      </c>
      <c r="G653" t="s">
        <v>2362</v>
      </c>
      <c r="H653" t="s">
        <v>2380</v>
      </c>
      <c r="I653" t="s">
        <v>2383</v>
      </c>
    </row>
    <row r="654" spans="1:9">
      <c r="A654" t="str">
        <f>"0015847 "</f>
        <v xml:space="preserve">0015847 </v>
      </c>
      <c r="B654" t="s">
        <v>2358</v>
      </c>
      <c r="C654" t="s">
        <v>2384</v>
      </c>
      <c r="D654" t="s">
        <v>2385</v>
      </c>
      <c r="E654" t="s">
        <v>20</v>
      </c>
      <c r="F654" t="s">
        <v>2386</v>
      </c>
      <c r="G654" t="s">
        <v>2362</v>
      </c>
      <c r="H654" t="s">
        <v>2384</v>
      </c>
      <c r="I654" t="s">
        <v>2387</v>
      </c>
    </row>
    <row r="655" spans="1:9">
      <c r="A655" t="str">
        <f>"0015850 "</f>
        <v xml:space="preserve">0015850 </v>
      </c>
      <c r="B655" t="s">
        <v>2358</v>
      </c>
      <c r="C655" t="s">
        <v>2388</v>
      </c>
      <c r="D655" t="s">
        <v>2389</v>
      </c>
      <c r="E655">
        <v>1</v>
      </c>
      <c r="F655" t="s">
        <v>2390</v>
      </c>
      <c r="G655" t="s">
        <v>2362</v>
      </c>
      <c r="H655" t="s">
        <v>2388</v>
      </c>
      <c r="I655" t="s">
        <v>2391</v>
      </c>
    </row>
    <row r="656" spans="1:9">
      <c r="A656" t="str">
        <f>"0015855 "</f>
        <v xml:space="preserve">0015855 </v>
      </c>
      <c r="B656" t="s">
        <v>2358</v>
      </c>
      <c r="C656" t="s">
        <v>2392</v>
      </c>
      <c r="D656" t="s">
        <v>2393</v>
      </c>
      <c r="E656">
        <v>2</v>
      </c>
      <c r="F656" t="s">
        <v>2394</v>
      </c>
      <c r="G656" t="s">
        <v>2362</v>
      </c>
      <c r="H656" t="s">
        <v>2392</v>
      </c>
      <c r="I656" t="s">
        <v>2395</v>
      </c>
    </row>
    <row r="657" spans="1:9">
      <c r="A657" t="str">
        <f>"0015859 "</f>
        <v xml:space="preserve">0015859 </v>
      </c>
      <c r="B657" t="s">
        <v>2358</v>
      </c>
      <c r="C657" t="s">
        <v>2396</v>
      </c>
      <c r="D657" t="s">
        <v>2397</v>
      </c>
      <c r="E657">
        <v>1</v>
      </c>
      <c r="F657" t="s">
        <v>2398</v>
      </c>
      <c r="G657" t="s">
        <v>2362</v>
      </c>
      <c r="H657" t="s">
        <v>2396</v>
      </c>
      <c r="I657" t="s">
        <v>2399</v>
      </c>
    </row>
    <row r="658" spans="1:9">
      <c r="A658" t="str">
        <f>"0015864 "</f>
        <v xml:space="preserve">0015864 </v>
      </c>
      <c r="B658" t="s">
        <v>2358</v>
      </c>
      <c r="C658" t="s">
        <v>2400</v>
      </c>
      <c r="D658" t="s">
        <v>2401</v>
      </c>
      <c r="E658">
        <v>5</v>
      </c>
      <c r="F658" t="s">
        <v>2402</v>
      </c>
      <c r="G658" t="s">
        <v>2362</v>
      </c>
      <c r="H658" t="s">
        <v>2400</v>
      </c>
      <c r="I658" t="s">
        <v>2403</v>
      </c>
    </row>
    <row r="659" spans="1:9">
      <c r="A659" t="str">
        <f>"0015867 "</f>
        <v xml:space="preserve">0015867 </v>
      </c>
      <c r="B659" t="s">
        <v>2358</v>
      </c>
      <c r="C659" t="s">
        <v>2404</v>
      </c>
      <c r="D659" t="s">
        <v>2405</v>
      </c>
      <c r="E659">
        <v>1</v>
      </c>
      <c r="F659" t="s">
        <v>2406</v>
      </c>
      <c r="G659" t="s">
        <v>2362</v>
      </c>
      <c r="H659" t="s">
        <v>2404</v>
      </c>
      <c r="I659" t="s">
        <v>2407</v>
      </c>
    </row>
    <row r="660" spans="1:9">
      <c r="A660" t="str">
        <f>"0015879 "</f>
        <v xml:space="preserve">0015879 </v>
      </c>
      <c r="B660" t="s">
        <v>2358</v>
      </c>
      <c r="C660" t="s">
        <v>2408</v>
      </c>
      <c r="D660" t="s">
        <v>2409</v>
      </c>
      <c r="E660">
        <v>1</v>
      </c>
      <c r="F660" t="s">
        <v>2410</v>
      </c>
      <c r="G660" t="s">
        <v>2362</v>
      </c>
      <c r="H660" t="s">
        <v>2408</v>
      </c>
      <c r="I660" t="s">
        <v>2411</v>
      </c>
    </row>
    <row r="661" spans="1:9">
      <c r="A661" t="str">
        <f>"0015884 "</f>
        <v xml:space="preserve">0015884 </v>
      </c>
      <c r="B661" t="s">
        <v>2358</v>
      </c>
      <c r="C661" t="s">
        <v>2412</v>
      </c>
      <c r="D661" t="s">
        <v>2413</v>
      </c>
      <c r="E661" t="s">
        <v>20</v>
      </c>
      <c r="F661" t="s">
        <v>2414</v>
      </c>
      <c r="G661" t="s">
        <v>2362</v>
      </c>
      <c r="H661" t="s">
        <v>2412</v>
      </c>
      <c r="I661" t="s">
        <v>2415</v>
      </c>
    </row>
    <row r="662" spans="1:9">
      <c r="A662" t="str">
        <f>"0018959 "</f>
        <v xml:space="preserve">0018959 </v>
      </c>
      <c r="B662" t="s">
        <v>2358</v>
      </c>
      <c r="C662" t="s">
        <v>2416</v>
      </c>
      <c r="D662" t="s">
        <v>2417</v>
      </c>
      <c r="E662">
        <v>3</v>
      </c>
      <c r="F662" t="s">
        <v>2418</v>
      </c>
      <c r="G662" t="s">
        <v>2362</v>
      </c>
      <c r="H662" t="s">
        <v>2416</v>
      </c>
      <c r="I662" t="s">
        <v>2419</v>
      </c>
    </row>
    <row r="663" spans="1:9">
      <c r="A663" t="str">
        <f>"0015887 "</f>
        <v xml:space="preserve">0015887 </v>
      </c>
      <c r="B663" t="s">
        <v>2358</v>
      </c>
      <c r="C663" t="s">
        <v>2420</v>
      </c>
      <c r="D663" t="s">
        <v>2421</v>
      </c>
      <c r="E663">
        <v>1</v>
      </c>
      <c r="F663" t="s">
        <v>2422</v>
      </c>
      <c r="G663" t="s">
        <v>2362</v>
      </c>
      <c r="H663" t="s">
        <v>2420</v>
      </c>
      <c r="I663" t="s">
        <v>2423</v>
      </c>
    </row>
    <row r="664" spans="1:9">
      <c r="A664" t="str">
        <f>"0018603 "</f>
        <v xml:space="preserve">0018603 </v>
      </c>
      <c r="B664" t="s">
        <v>2358</v>
      </c>
      <c r="C664" t="s">
        <v>2424</v>
      </c>
      <c r="D664" t="s">
        <v>2425</v>
      </c>
      <c r="E664">
        <v>1</v>
      </c>
      <c r="F664" t="s">
        <v>2426</v>
      </c>
      <c r="G664" t="s">
        <v>2362</v>
      </c>
      <c r="H664" t="s">
        <v>2424</v>
      </c>
      <c r="I664" t="s">
        <v>2427</v>
      </c>
    </row>
    <row r="665" spans="1:9">
      <c r="A665" t="str">
        <f>"0015897 "</f>
        <v xml:space="preserve">0015897 </v>
      </c>
      <c r="B665" t="s">
        <v>2358</v>
      </c>
      <c r="C665" t="s">
        <v>2428</v>
      </c>
      <c r="D665" t="s">
        <v>2429</v>
      </c>
      <c r="E665">
        <v>2</v>
      </c>
      <c r="F665" t="s">
        <v>2430</v>
      </c>
      <c r="G665" t="s">
        <v>2362</v>
      </c>
      <c r="H665" t="s">
        <v>2428</v>
      </c>
      <c r="I665" t="s">
        <v>2431</v>
      </c>
    </row>
    <row r="666" spans="1:9">
      <c r="A666" t="str">
        <f>"0015899 "</f>
        <v xml:space="preserve">0015899 </v>
      </c>
      <c r="B666" t="s">
        <v>2358</v>
      </c>
      <c r="C666" t="s">
        <v>2432</v>
      </c>
      <c r="D666" t="s">
        <v>2433</v>
      </c>
      <c r="E666">
        <v>1</v>
      </c>
      <c r="F666" t="s">
        <v>2434</v>
      </c>
      <c r="G666" t="s">
        <v>2362</v>
      </c>
      <c r="H666" t="s">
        <v>2432</v>
      </c>
      <c r="I666" t="s">
        <v>2435</v>
      </c>
    </row>
    <row r="667" spans="1:9">
      <c r="A667" t="str">
        <f>"0015905 "</f>
        <v xml:space="preserve">0015905 </v>
      </c>
      <c r="B667" t="s">
        <v>2358</v>
      </c>
      <c r="C667" t="s">
        <v>2436</v>
      </c>
      <c r="D667" t="s">
        <v>2437</v>
      </c>
      <c r="E667" t="s">
        <v>20</v>
      </c>
      <c r="F667" t="s">
        <v>2438</v>
      </c>
      <c r="G667" t="s">
        <v>2362</v>
      </c>
      <c r="H667" t="s">
        <v>2436</v>
      </c>
      <c r="I667" t="s">
        <v>2439</v>
      </c>
    </row>
    <row r="668" spans="1:9">
      <c r="A668" t="str">
        <f>"0015906 "</f>
        <v xml:space="preserve">0015906 </v>
      </c>
      <c r="B668" t="s">
        <v>2358</v>
      </c>
      <c r="C668" t="s">
        <v>2440</v>
      </c>
      <c r="D668" t="s">
        <v>2441</v>
      </c>
      <c r="E668">
        <v>2</v>
      </c>
      <c r="F668" t="s">
        <v>2442</v>
      </c>
      <c r="G668" t="s">
        <v>2362</v>
      </c>
      <c r="H668" t="s">
        <v>2440</v>
      </c>
      <c r="I668" t="s">
        <v>2443</v>
      </c>
    </row>
    <row r="669" spans="1:9">
      <c r="A669" t="str">
        <f>"0015909 "</f>
        <v xml:space="preserve">0015909 </v>
      </c>
      <c r="B669" t="s">
        <v>2358</v>
      </c>
      <c r="C669" t="s">
        <v>2444</v>
      </c>
      <c r="D669" t="s">
        <v>2445</v>
      </c>
      <c r="E669">
        <v>5</v>
      </c>
      <c r="F669" t="s">
        <v>2446</v>
      </c>
      <c r="G669" t="s">
        <v>2362</v>
      </c>
      <c r="H669" t="s">
        <v>2444</v>
      </c>
      <c r="I669" t="s">
        <v>2447</v>
      </c>
    </row>
    <row r="670" spans="1:9">
      <c r="A670" t="str">
        <f>"0015910 "</f>
        <v xml:space="preserve">0015910 </v>
      </c>
      <c r="B670" t="s">
        <v>2358</v>
      </c>
      <c r="C670" t="s">
        <v>2448</v>
      </c>
      <c r="D670" t="s">
        <v>2449</v>
      </c>
      <c r="E670">
        <v>2</v>
      </c>
      <c r="F670" t="s">
        <v>2450</v>
      </c>
      <c r="G670" t="s">
        <v>2362</v>
      </c>
      <c r="H670" t="s">
        <v>2448</v>
      </c>
      <c r="I670" t="s">
        <v>2451</v>
      </c>
    </row>
    <row r="671" spans="1:9">
      <c r="A671" t="str">
        <f>"0015926 "</f>
        <v xml:space="preserve">0015926 </v>
      </c>
      <c r="B671" t="s">
        <v>2358</v>
      </c>
      <c r="C671" t="s">
        <v>2452</v>
      </c>
      <c r="D671" t="s">
        <v>2453</v>
      </c>
      <c r="E671">
        <v>1</v>
      </c>
      <c r="F671" t="s">
        <v>2454</v>
      </c>
      <c r="G671" t="s">
        <v>2362</v>
      </c>
      <c r="H671" t="s">
        <v>2452</v>
      </c>
      <c r="I671" t="s">
        <v>2455</v>
      </c>
    </row>
    <row r="672" spans="1:9">
      <c r="A672" t="str">
        <f>"0015927 "</f>
        <v xml:space="preserve">0015927 </v>
      </c>
      <c r="B672" t="s">
        <v>2358</v>
      </c>
      <c r="C672" t="s">
        <v>2456</v>
      </c>
      <c r="D672" t="s">
        <v>2457</v>
      </c>
      <c r="E672" t="s">
        <v>20</v>
      </c>
      <c r="F672" t="s">
        <v>2458</v>
      </c>
      <c r="G672" t="s">
        <v>2362</v>
      </c>
      <c r="H672" t="s">
        <v>2456</v>
      </c>
      <c r="I672" t="s">
        <v>2459</v>
      </c>
    </row>
    <row r="673" spans="1:9">
      <c r="A673" t="str">
        <f>"0015968 "</f>
        <v xml:space="preserve">0015968 </v>
      </c>
      <c r="B673" t="s">
        <v>2358</v>
      </c>
      <c r="C673" t="s">
        <v>2460</v>
      </c>
      <c r="D673" t="s">
        <v>2461</v>
      </c>
      <c r="E673">
        <v>2</v>
      </c>
      <c r="F673" t="s">
        <v>2462</v>
      </c>
      <c r="G673" t="s">
        <v>2362</v>
      </c>
      <c r="H673" t="s">
        <v>2460</v>
      </c>
      <c r="I673" t="s">
        <v>2463</v>
      </c>
    </row>
    <row r="674" spans="1:9">
      <c r="A674" t="str">
        <f>"0015978 "</f>
        <v xml:space="preserve">0015978 </v>
      </c>
      <c r="B674" t="s">
        <v>2358</v>
      </c>
      <c r="C674" t="s">
        <v>2464</v>
      </c>
      <c r="D674" t="s">
        <v>2465</v>
      </c>
      <c r="E674">
        <v>1</v>
      </c>
      <c r="F674" t="s">
        <v>2466</v>
      </c>
      <c r="G674" t="s">
        <v>2362</v>
      </c>
      <c r="H674" t="s">
        <v>2464</v>
      </c>
      <c r="I674" t="s">
        <v>2467</v>
      </c>
    </row>
    <row r="675" spans="1:9">
      <c r="A675" t="str">
        <f>"0015982 "</f>
        <v xml:space="preserve">0015982 </v>
      </c>
      <c r="B675" t="s">
        <v>2358</v>
      </c>
      <c r="C675" t="s">
        <v>2468</v>
      </c>
      <c r="D675" t="s">
        <v>2469</v>
      </c>
      <c r="E675">
        <v>2</v>
      </c>
      <c r="F675" t="s">
        <v>2470</v>
      </c>
      <c r="G675" t="s">
        <v>2362</v>
      </c>
      <c r="H675" t="s">
        <v>2468</v>
      </c>
      <c r="I675" t="s">
        <v>916</v>
      </c>
    </row>
    <row r="676" spans="1:9">
      <c r="A676" t="str">
        <f>"0015985 "</f>
        <v xml:space="preserve">0015985 </v>
      </c>
      <c r="B676" t="s">
        <v>2358</v>
      </c>
      <c r="C676" t="s">
        <v>2471</v>
      </c>
      <c r="D676" t="s">
        <v>2472</v>
      </c>
      <c r="E676">
        <v>2</v>
      </c>
      <c r="F676" t="s">
        <v>2473</v>
      </c>
      <c r="G676" t="s">
        <v>2362</v>
      </c>
      <c r="H676" t="s">
        <v>2471</v>
      </c>
      <c r="I676" t="s">
        <v>2474</v>
      </c>
    </row>
    <row r="677" spans="1:9">
      <c r="A677" t="str">
        <f>"0015989 "</f>
        <v xml:space="preserve">0015989 </v>
      </c>
      <c r="B677" t="s">
        <v>2358</v>
      </c>
      <c r="C677" t="s">
        <v>2475</v>
      </c>
      <c r="D677" t="s">
        <v>2476</v>
      </c>
      <c r="E677">
        <v>1</v>
      </c>
      <c r="F677" t="s">
        <v>2477</v>
      </c>
      <c r="G677" t="s">
        <v>2362</v>
      </c>
      <c r="H677" t="s">
        <v>2475</v>
      </c>
      <c r="I677" t="s">
        <v>2478</v>
      </c>
    </row>
    <row r="678" spans="1:9">
      <c r="A678" t="str">
        <f>"0086592 "</f>
        <v xml:space="preserve">0086592 </v>
      </c>
      <c r="B678" t="s">
        <v>2358</v>
      </c>
      <c r="C678" t="s">
        <v>2479</v>
      </c>
      <c r="D678" t="s">
        <v>2480</v>
      </c>
      <c r="E678">
        <v>1</v>
      </c>
      <c r="F678" t="s">
        <v>2481</v>
      </c>
      <c r="G678" t="s">
        <v>2362</v>
      </c>
      <c r="H678" t="s">
        <v>2479</v>
      </c>
      <c r="I678" t="s">
        <v>2482</v>
      </c>
    </row>
    <row r="679" spans="1:9">
      <c r="A679" t="str">
        <f>"0015999 "</f>
        <v xml:space="preserve">0015999 </v>
      </c>
      <c r="B679" t="s">
        <v>2358</v>
      </c>
      <c r="C679" t="s">
        <v>2483</v>
      </c>
      <c r="D679" t="s">
        <v>2484</v>
      </c>
      <c r="E679">
        <v>2</v>
      </c>
      <c r="F679" t="s">
        <v>2485</v>
      </c>
      <c r="G679" t="s">
        <v>2362</v>
      </c>
      <c r="H679" t="s">
        <v>2483</v>
      </c>
      <c r="I679" t="s">
        <v>2486</v>
      </c>
    </row>
    <row r="680" spans="1:9">
      <c r="A680" t="str">
        <f>"0016000 "</f>
        <v xml:space="preserve">0016000 </v>
      </c>
      <c r="B680" t="s">
        <v>2358</v>
      </c>
      <c r="C680" t="s">
        <v>2487</v>
      </c>
      <c r="D680" t="s">
        <v>2488</v>
      </c>
      <c r="E680">
        <v>1</v>
      </c>
      <c r="F680" t="s">
        <v>2489</v>
      </c>
      <c r="G680" t="s">
        <v>2362</v>
      </c>
      <c r="H680" t="s">
        <v>2487</v>
      </c>
      <c r="I680" t="s">
        <v>920</v>
      </c>
    </row>
    <row r="681" spans="1:9">
      <c r="A681" t="str">
        <f>"0016016 "</f>
        <v xml:space="preserve">0016016 </v>
      </c>
      <c r="B681" t="s">
        <v>2358</v>
      </c>
      <c r="C681" t="s">
        <v>2490</v>
      </c>
      <c r="D681" t="s">
        <v>2491</v>
      </c>
      <c r="E681">
        <v>1</v>
      </c>
      <c r="F681" t="s">
        <v>2492</v>
      </c>
      <c r="G681" t="s">
        <v>2362</v>
      </c>
      <c r="H681" t="s">
        <v>2490</v>
      </c>
      <c r="I681" t="s">
        <v>2493</v>
      </c>
    </row>
    <row r="682" spans="1:9">
      <c r="A682" t="str">
        <f>"0016019 "</f>
        <v xml:space="preserve">0016019 </v>
      </c>
      <c r="B682" t="s">
        <v>2358</v>
      </c>
      <c r="C682" t="s">
        <v>2494</v>
      </c>
      <c r="D682" t="s">
        <v>2495</v>
      </c>
      <c r="E682">
        <v>4</v>
      </c>
      <c r="F682" t="s">
        <v>2430</v>
      </c>
      <c r="G682" t="s">
        <v>2362</v>
      </c>
      <c r="H682" t="s">
        <v>2494</v>
      </c>
      <c r="I682" t="s">
        <v>2496</v>
      </c>
    </row>
    <row r="683" spans="1:9">
      <c r="A683" t="str">
        <f>"0016030 "</f>
        <v xml:space="preserve">0016030 </v>
      </c>
      <c r="B683" t="s">
        <v>2358</v>
      </c>
      <c r="C683" t="s">
        <v>2497</v>
      </c>
      <c r="D683" t="s">
        <v>2498</v>
      </c>
      <c r="E683">
        <v>2</v>
      </c>
      <c r="F683" t="s">
        <v>2499</v>
      </c>
      <c r="G683" t="s">
        <v>2362</v>
      </c>
      <c r="H683" t="s">
        <v>2497</v>
      </c>
      <c r="I683" t="s">
        <v>2500</v>
      </c>
    </row>
    <row r="684" spans="1:9">
      <c r="A684" t="str">
        <f>"0016031 "</f>
        <v xml:space="preserve">0016031 </v>
      </c>
      <c r="B684" t="s">
        <v>2358</v>
      </c>
      <c r="C684" t="s">
        <v>2501</v>
      </c>
      <c r="D684" t="s">
        <v>2502</v>
      </c>
      <c r="E684">
        <v>2</v>
      </c>
      <c r="F684" t="s">
        <v>2503</v>
      </c>
      <c r="G684" t="s">
        <v>2362</v>
      </c>
      <c r="H684" t="s">
        <v>2501</v>
      </c>
      <c r="I684" t="s">
        <v>2504</v>
      </c>
    </row>
    <row r="685" spans="1:9">
      <c r="A685" t="str">
        <f>"0016032 "</f>
        <v xml:space="preserve">0016032 </v>
      </c>
      <c r="B685" t="s">
        <v>2358</v>
      </c>
      <c r="C685" t="s">
        <v>2505</v>
      </c>
      <c r="D685" t="s">
        <v>2506</v>
      </c>
      <c r="E685">
        <v>2</v>
      </c>
      <c r="F685" t="s">
        <v>2507</v>
      </c>
      <c r="G685" t="s">
        <v>2362</v>
      </c>
      <c r="H685" t="s">
        <v>2505</v>
      </c>
      <c r="I685" t="s">
        <v>2508</v>
      </c>
    </row>
    <row r="686" spans="1:9">
      <c r="A686" t="str">
        <f>"0016043 "</f>
        <v xml:space="preserve">0016043 </v>
      </c>
      <c r="B686" t="s">
        <v>2358</v>
      </c>
      <c r="C686" t="s">
        <v>2509</v>
      </c>
      <c r="D686" t="s">
        <v>2510</v>
      </c>
      <c r="E686">
        <v>1</v>
      </c>
      <c r="F686" t="s">
        <v>2511</v>
      </c>
      <c r="G686" t="s">
        <v>2362</v>
      </c>
      <c r="H686" t="s">
        <v>2509</v>
      </c>
      <c r="I686" t="s">
        <v>2512</v>
      </c>
    </row>
    <row r="687" spans="1:9">
      <c r="A687" t="str">
        <f>"0016054 "</f>
        <v xml:space="preserve">0016054 </v>
      </c>
      <c r="B687" t="s">
        <v>2358</v>
      </c>
      <c r="C687" t="s">
        <v>2513</v>
      </c>
      <c r="D687" t="s">
        <v>2514</v>
      </c>
      <c r="E687" t="s">
        <v>20</v>
      </c>
      <c r="F687" t="s">
        <v>2515</v>
      </c>
      <c r="G687" t="s">
        <v>2362</v>
      </c>
      <c r="H687" t="s">
        <v>2513</v>
      </c>
      <c r="I687" t="s">
        <v>2516</v>
      </c>
    </row>
    <row r="688" spans="1:9">
      <c r="A688" t="str">
        <f>"0016058 "</f>
        <v xml:space="preserve">0016058 </v>
      </c>
      <c r="B688" t="s">
        <v>2358</v>
      </c>
      <c r="C688" t="s">
        <v>2517</v>
      </c>
      <c r="D688" t="s">
        <v>2518</v>
      </c>
      <c r="E688">
        <v>1</v>
      </c>
      <c r="F688" t="s">
        <v>2519</v>
      </c>
      <c r="G688" t="s">
        <v>2362</v>
      </c>
      <c r="H688" t="s">
        <v>2517</v>
      </c>
      <c r="I688" t="s">
        <v>2520</v>
      </c>
    </row>
    <row r="689" spans="1:9">
      <c r="A689" t="str">
        <f>"0116998 "</f>
        <v xml:space="preserve">0116998 </v>
      </c>
      <c r="B689" t="s">
        <v>2358</v>
      </c>
      <c r="C689" t="s">
        <v>2521</v>
      </c>
      <c r="D689" t="s">
        <v>2522</v>
      </c>
      <c r="E689">
        <v>1</v>
      </c>
      <c r="F689" t="s">
        <v>2523</v>
      </c>
      <c r="G689" t="s">
        <v>2362</v>
      </c>
      <c r="H689" t="s">
        <v>2521</v>
      </c>
      <c r="I689" t="s">
        <v>2524</v>
      </c>
    </row>
    <row r="690" spans="1:9">
      <c r="A690" t="str">
        <f>"0016083 "</f>
        <v xml:space="preserve">0016083 </v>
      </c>
      <c r="B690" t="s">
        <v>2358</v>
      </c>
      <c r="C690" t="s">
        <v>2525</v>
      </c>
      <c r="D690" t="s">
        <v>2526</v>
      </c>
      <c r="E690">
        <v>1</v>
      </c>
      <c r="F690" t="s">
        <v>2527</v>
      </c>
      <c r="G690" t="s">
        <v>2362</v>
      </c>
      <c r="H690" t="s">
        <v>2525</v>
      </c>
      <c r="I690" t="s">
        <v>2528</v>
      </c>
    </row>
    <row r="691" spans="1:9">
      <c r="A691" t="str">
        <f>"0016089 "</f>
        <v xml:space="preserve">0016089 </v>
      </c>
      <c r="B691" t="s">
        <v>2358</v>
      </c>
      <c r="C691" t="s">
        <v>2529</v>
      </c>
      <c r="D691" t="s">
        <v>2530</v>
      </c>
      <c r="E691">
        <v>2</v>
      </c>
      <c r="F691" t="s">
        <v>2422</v>
      </c>
      <c r="G691" t="s">
        <v>2362</v>
      </c>
      <c r="H691" t="s">
        <v>2529</v>
      </c>
      <c r="I691" t="s">
        <v>2531</v>
      </c>
    </row>
    <row r="692" spans="1:9">
      <c r="A692" t="str">
        <f>"0016092 "</f>
        <v xml:space="preserve">0016092 </v>
      </c>
      <c r="B692" t="s">
        <v>2358</v>
      </c>
      <c r="C692" t="s">
        <v>2532</v>
      </c>
      <c r="D692" t="s">
        <v>2533</v>
      </c>
      <c r="E692">
        <v>1</v>
      </c>
      <c r="F692" t="s">
        <v>2534</v>
      </c>
      <c r="G692" t="s">
        <v>2362</v>
      </c>
      <c r="H692" t="s">
        <v>2532</v>
      </c>
      <c r="I692" t="s">
        <v>2535</v>
      </c>
    </row>
    <row r="693" spans="1:9">
      <c r="A693" t="str">
        <f>"0016094 "</f>
        <v xml:space="preserve">0016094 </v>
      </c>
      <c r="B693" t="s">
        <v>2358</v>
      </c>
      <c r="C693" t="s">
        <v>2536</v>
      </c>
      <c r="D693" t="s">
        <v>2537</v>
      </c>
      <c r="E693">
        <v>1</v>
      </c>
      <c r="F693" t="s">
        <v>2538</v>
      </c>
      <c r="G693" t="s">
        <v>2362</v>
      </c>
      <c r="H693" t="s">
        <v>2536</v>
      </c>
      <c r="I693" t="s">
        <v>2539</v>
      </c>
    </row>
    <row r="694" spans="1:9">
      <c r="A694" t="str">
        <f>"0018607 "</f>
        <v xml:space="preserve">0018607 </v>
      </c>
      <c r="B694" t="s">
        <v>2358</v>
      </c>
      <c r="C694" t="s">
        <v>2540</v>
      </c>
      <c r="D694" t="s">
        <v>2541</v>
      </c>
      <c r="E694">
        <v>1</v>
      </c>
      <c r="F694" t="s">
        <v>2542</v>
      </c>
      <c r="G694" t="s">
        <v>2362</v>
      </c>
      <c r="H694" t="s">
        <v>2540</v>
      </c>
      <c r="I694" t="s">
        <v>2543</v>
      </c>
    </row>
    <row r="695" spans="1:9">
      <c r="A695" t="str">
        <f>"0016139 "</f>
        <v xml:space="preserve">0016139 </v>
      </c>
      <c r="B695" t="s">
        <v>2358</v>
      </c>
      <c r="C695" t="s">
        <v>2544</v>
      </c>
      <c r="D695" t="s">
        <v>2545</v>
      </c>
      <c r="E695">
        <v>1</v>
      </c>
      <c r="F695" t="s">
        <v>2546</v>
      </c>
      <c r="G695" t="s">
        <v>2362</v>
      </c>
      <c r="H695" t="s">
        <v>2544</v>
      </c>
      <c r="I695" t="s">
        <v>2547</v>
      </c>
    </row>
    <row r="696" spans="1:9">
      <c r="A696" t="str">
        <f>"0016143 "</f>
        <v xml:space="preserve">0016143 </v>
      </c>
      <c r="B696" t="s">
        <v>2358</v>
      </c>
      <c r="C696" t="s">
        <v>2548</v>
      </c>
      <c r="D696" t="s">
        <v>2549</v>
      </c>
      <c r="E696">
        <v>1</v>
      </c>
      <c r="F696" t="s">
        <v>2550</v>
      </c>
      <c r="G696" t="s">
        <v>2362</v>
      </c>
      <c r="H696" t="s">
        <v>2548</v>
      </c>
      <c r="I696" t="s">
        <v>2551</v>
      </c>
    </row>
    <row r="697" spans="1:9">
      <c r="A697" t="str">
        <f>"0016144 "</f>
        <v xml:space="preserve">0016144 </v>
      </c>
      <c r="B697" t="s">
        <v>2358</v>
      </c>
      <c r="C697" t="s">
        <v>2552</v>
      </c>
      <c r="D697" t="s">
        <v>2553</v>
      </c>
      <c r="E697">
        <v>3</v>
      </c>
      <c r="F697" t="s">
        <v>2554</v>
      </c>
      <c r="G697" t="s">
        <v>2362</v>
      </c>
      <c r="H697" t="s">
        <v>2552</v>
      </c>
      <c r="I697" t="s">
        <v>2555</v>
      </c>
    </row>
    <row r="698" spans="1:9">
      <c r="A698" t="str">
        <f>"0018612 "</f>
        <v xml:space="preserve">0018612 </v>
      </c>
      <c r="B698" t="s">
        <v>2358</v>
      </c>
      <c r="C698" t="s">
        <v>2556</v>
      </c>
      <c r="D698" t="s">
        <v>2557</v>
      </c>
      <c r="E698">
        <v>1</v>
      </c>
      <c r="F698" t="s">
        <v>2558</v>
      </c>
      <c r="G698" t="s">
        <v>2362</v>
      </c>
      <c r="H698" t="s">
        <v>2556</v>
      </c>
      <c r="I698" t="s">
        <v>2559</v>
      </c>
    </row>
    <row r="699" spans="1:9">
      <c r="A699" t="str">
        <f>"0016151 "</f>
        <v xml:space="preserve">0016151 </v>
      </c>
      <c r="B699" t="s">
        <v>2358</v>
      </c>
      <c r="C699" t="s">
        <v>2560</v>
      </c>
      <c r="D699" t="s">
        <v>2561</v>
      </c>
      <c r="E699">
        <v>1</v>
      </c>
      <c r="F699" t="s">
        <v>2562</v>
      </c>
      <c r="G699" t="s">
        <v>2362</v>
      </c>
      <c r="H699" t="s">
        <v>2560</v>
      </c>
      <c r="I699" t="s">
        <v>2563</v>
      </c>
    </row>
    <row r="700" spans="1:9">
      <c r="A700" t="str">
        <f>"0018966 "</f>
        <v xml:space="preserve">0018966 </v>
      </c>
      <c r="B700" t="s">
        <v>2358</v>
      </c>
      <c r="C700" t="s">
        <v>2564</v>
      </c>
      <c r="D700" t="s">
        <v>2565</v>
      </c>
      <c r="E700">
        <v>1</v>
      </c>
      <c r="F700" t="s">
        <v>2566</v>
      </c>
      <c r="G700" t="s">
        <v>2362</v>
      </c>
      <c r="H700" t="s">
        <v>2564</v>
      </c>
      <c r="I700" t="s">
        <v>2567</v>
      </c>
    </row>
    <row r="701" spans="1:9">
      <c r="A701" t="str">
        <f>"0016157 "</f>
        <v xml:space="preserve">0016157 </v>
      </c>
      <c r="B701" t="s">
        <v>2358</v>
      </c>
      <c r="C701" t="s">
        <v>2568</v>
      </c>
      <c r="D701" t="s">
        <v>2569</v>
      </c>
      <c r="E701" t="s">
        <v>20</v>
      </c>
      <c r="F701" t="s">
        <v>2570</v>
      </c>
      <c r="G701" t="s">
        <v>2362</v>
      </c>
      <c r="H701" t="s">
        <v>2568</v>
      </c>
      <c r="I701" t="s">
        <v>2571</v>
      </c>
    </row>
    <row r="702" spans="1:9">
      <c r="A702" t="str">
        <f>"0016164 "</f>
        <v xml:space="preserve">0016164 </v>
      </c>
      <c r="B702" t="s">
        <v>2358</v>
      </c>
      <c r="C702" t="s">
        <v>2572</v>
      </c>
      <c r="D702" t="s">
        <v>2573</v>
      </c>
      <c r="E702" t="s">
        <v>20</v>
      </c>
      <c r="F702" t="s">
        <v>2574</v>
      </c>
      <c r="G702" t="s">
        <v>2362</v>
      </c>
      <c r="H702" t="s">
        <v>2572</v>
      </c>
      <c r="I702" t="s">
        <v>2575</v>
      </c>
    </row>
    <row r="703" spans="1:9">
      <c r="A703" t="str">
        <f>"0016175 "</f>
        <v xml:space="preserve">0016175 </v>
      </c>
      <c r="B703" t="s">
        <v>2358</v>
      </c>
      <c r="C703" t="s">
        <v>2576</v>
      </c>
      <c r="D703" t="s">
        <v>2577</v>
      </c>
      <c r="E703">
        <v>1</v>
      </c>
      <c r="F703" t="s">
        <v>2578</v>
      </c>
      <c r="G703" t="s">
        <v>2362</v>
      </c>
      <c r="H703" t="s">
        <v>2576</v>
      </c>
      <c r="I703" t="s">
        <v>2579</v>
      </c>
    </row>
    <row r="704" spans="1:9">
      <c r="A704" t="str">
        <f>"0016189 "</f>
        <v xml:space="preserve">0016189 </v>
      </c>
      <c r="B704" t="s">
        <v>2358</v>
      </c>
      <c r="C704" t="s">
        <v>2580</v>
      </c>
      <c r="D704" t="s">
        <v>2581</v>
      </c>
      <c r="E704">
        <v>2</v>
      </c>
      <c r="F704" t="s">
        <v>2582</v>
      </c>
      <c r="G704" t="s">
        <v>2362</v>
      </c>
      <c r="H704" t="s">
        <v>2580</v>
      </c>
      <c r="I704" t="s">
        <v>2583</v>
      </c>
    </row>
    <row r="705" spans="1:9">
      <c r="A705" t="str">
        <f>"0016190 "</f>
        <v xml:space="preserve">0016190 </v>
      </c>
      <c r="B705" t="s">
        <v>2358</v>
      </c>
      <c r="C705" t="s">
        <v>2584</v>
      </c>
      <c r="D705" t="s">
        <v>2585</v>
      </c>
      <c r="E705">
        <v>1</v>
      </c>
      <c r="F705" t="s">
        <v>2586</v>
      </c>
      <c r="G705" t="s">
        <v>2362</v>
      </c>
      <c r="H705" t="s">
        <v>2584</v>
      </c>
      <c r="I705" t="s">
        <v>2587</v>
      </c>
    </row>
    <row r="706" spans="1:9">
      <c r="A706" t="str">
        <f>"0016195 "</f>
        <v xml:space="preserve">0016195 </v>
      </c>
      <c r="B706" t="s">
        <v>2358</v>
      </c>
      <c r="C706" t="s">
        <v>2588</v>
      </c>
      <c r="D706" t="s">
        <v>2589</v>
      </c>
      <c r="E706">
        <v>1</v>
      </c>
      <c r="F706" t="s">
        <v>2590</v>
      </c>
      <c r="G706" t="s">
        <v>2362</v>
      </c>
      <c r="H706" t="s">
        <v>2588</v>
      </c>
      <c r="I706" t="s">
        <v>2591</v>
      </c>
    </row>
    <row r="707" spans="1:9">
      <c r="A707" t="str">
        <f>"0016202 "</f>
        <v xml:space="preserve">0016202 </v>
      </c>
      <c r="B707" t="s">
        <v>2358</v>
      </c>
      <c r="C707" t="s">
        <v>2592</v>
      </c>
      <c r="D707" t="s">
        <v>2593</v>
      </c>
      <c r="E707">
        <v>4</v>
      </c>
      <c r="F707" t="s">
        <v>2594</v>
      </c>
      <c r="G707" t="s">
        <v>2362</v>
      </c>
      <c r="H707" t="s">
        <v>2592</v>
      </c>
      <c r="I707" t="s">
        <v>2595</v>
      </c>
    </row>
    <row r="708" spans="1:9">
      <c r="A708" t="str">
        <f>"0016204 "</f>
        <v xml:space="preserve">0016204 </v>
      </c>
      <c r="B708" t="s">
        <v>2358</v>
      </c>
      <c r="C708" t="s">
        <v>2596</v>
      </c>
      <c r="D708" t="s">
        <v>2597</v>
      </c>
      <c r="E708">
        <v>2</v>
      </c>
      <c r="F708" t="s">
        <v>2598</v>
      </c>
      <c r="G708" t="s">
        <v>2362</v>
      </c>
      <c r="H708" t="s">
        <v>2596</v>
      </c>
      <c r="I708" t="s">
        <v>2599</v>
      </c>
    </row>
    <row r="709" spans="1:9">
      <c r="A709" t="str">
        <f>"0016209 "</f>
        <v xml:space="preserve">0016209 </v>
      </c>
      <c r="B709" t="s">
        <v>2358</v>
      </c>
      <c r="C709" t="s">
        <v>2600</v>
      </c>
      <c r="D709" t="s">
        <v>2601</v>
      </c>
      <c r="E709">
        <v>1</v>
      </c>
      <c r="F709" t="s">
        <v>2602</v>
      </c>
      <c r="G709" t="s">
        <v>2362</v>
      </c>
      <c r="H709" t="s">
        <v>2600</v>
      </c>
      <c r="I709" t="s">
        <v>2603</v>
      </c>
    </row>
    <row r="710" spans="1:9">
      <c r="A710" t="str">
        <f>"0016211 "</f>
        <v xml:space="preserve">0016211 </v>
      </c>
      <c r="B710" t="s">
        <v>2358</v>
      </c>
      <c r="C710" t="s">
        <v>2604</v>
      </c>
      <c r="D710" t="s">
        <v>2605</v>
      </c>
      <c r="E710">
        <v>2</v>
      </c>
      <c r="F710" t="s">
        <v>2606</v>
      </c>
      <c r="G710" t="s">
        <v>2362</v>
      </c>
      <c r="H710" t="s">
        <v>2604</v>
      </c>
      <c r="I710" t="s">
        <v>2607</v>
      </c>
    </row>
    <row r="711" spans="1:9">
      <c r="A711" t="str">
        <f>"0016212 "</f>
        <v xml:space="preserve">0016212 </v>
      </c>
      <c r="B711" t="s">
        <v>2358</v>
      </c>
      <c r="C711" t="s">
        <v>2608</v>
      </c>
      <c r="D711" t="s">
        <v>2609</v>
      </c>
      <c r="E711">
        <v>3</v>
      </c>
      <c r="F711" t="s">
        <v>2610</v>
      </c>
      <c r="G711" t="s">
        <v>2362</v>
      </c>
      <c r="H711" t="s">
        <v>2608</v>
      </c>
      <c r="I711" t="s">
        <v>2611</v>
      </c>
    </row>
    <row r="712" spans="1:9">
      <c r="A712" t="str">
        <f>"0217427 "</f>
        <v xml:space="preserve">0217427 </v>
      </c>
      <c r="B712" t="s">
        <v>2358</v>
      </c>
      <c r="C712" t="s">
        <v>2612</v>
      </c>
      <c r="D712" t="s">
        <v>2613</v>
      </c>
      <c r="E712">
        <v>1</v>
      </c>
      <c r="F712" t="s">
        <v>2614</v>
      </c>
      <c r="G712" t="s">
        <v>2362</v>
      </c>
      <c r="H712" t="s">
        <v>2612</v>
      </c>
      <c r="I712" t="s">
        <v>2615</v>
      </c>
    </row>
    <row r="713" spans="1:9">
      <c r="A713" t="str">
        <f>"0018634 "</f>
        <v xml:space="preserve">0018634 </v>
      </c>
      <c r="B713" t="s">
        <v>2358</v>
      </c>
      <c r="C713" t="s">
        <v>2616</v>
      </c>
      <c r="D713" t="s">
        <v>2617</v>
      </c>
      <c r="E713">
        <v>1</v>
      </c>
      <c r="F713" t="s">
        <v>2618</v>
      </c>
      <c r="G713" t="s">
        <v>2362</v>
      </c>
      <c r="H713" t="s">
        <v>2616</v>
      </c>
      <c r="I713" t="s">
        <v>2619</v>
      </c>
    </row>
    <row r="714" spans="1:9">
      <c r="A714" t="str">
        <f>"0117000 "</f>
        <v xml:space="preserve">0117000 </v>
      </c>
      <c r="B714" t="s">
        <v>2358</v>
      </c>
      <c r="C714" t="s">
        <v>2620</v>
      </c>
      <c r="D714" t="s">
        <v>2621</v>
      </c>
      <c r="E714">
        <v>1</v>
      </c>
      <c r="F714" t="s">
        <v>2622</v>
      </c>
      <c r="G714" t="s">
        <v>2362</v>
      </c>
      <c r="H714" t="s">
        <v>2620</v>
      </c>
      <c r="I714" t="s">
        <v>2623</v>
      </c>
    </row>
    <row r="715" spans="1:9">
      <c r="A715" t="str">
        <f>"0016223 "</f>
        <v xml:space="preserve">0016223 </v>
      </c>
      <c r="B715" t="s">
        <v>2358</v>
      </c>
      <c r="C715" t="s">
        <v>2624</v>
      </c>
      <c r="D715" t="s">
        <v>2625</v>
      </c>
      <c r="E715">
        <v>1</v>
      </c>
      <c r="F715" t="s">
        <v>2626</v>
      </c>
      <c r="G715" t="s">
        <v>2362</v>
      </c>
      <c r="H715" t="s">
        <v>2624</v>
      </c>
      <c r="I715" t="s">
        <v>2627</v>
      </c>
    </row>
    <row r="716" spans="1:9">
      <c r="A716" t="str">
        <f>"0016234 "</f>
        <v xml:space="preserve">0016234 </v>
      </c>
      <c r="B716" t="s">
        <v>2358</v>
      </c>
      <c r="C716" t="s">
        <v>2628</v>
      </c>
      <c r="D716" t="s">
        <v>2629</v>
      </c>
      <c r="E716">
        <v>1</v>
      </c>
      <c r="F716" t="s">
        <v>2630</v>
      </c>
      <c r="G716" t="s">
        <v>2362</v>
      </c>
      <c r="H716" t="s">
        <v>2628</v>
      </c>
      <c r="I716" t="s">
        <v>2631</v>
      </c>
    </row>
    <row r="717" spans="1:9">
      <c r="A717" t="str">
        <f>"0016236 "</f>
        <v xml:space="preserve">0016236 </v>
      </c>
      <c r="B717" t="s">
        <v>2358</v>
      </c>
      <c r="C717" t="s">
        <v>2632</v>
      </c>
      <c r="D717" t="s">
        <v>2633</v>
      </c>
      <c r="E717" t="s">
        <v>20</v>
      </c>
      <c r="F717" t="s">
        <v>2634</v>
      </c>
      <c r="G717" t="s">
        <v>2362</v>
      </c>
      <c r="H717" t="s">
        <v>2632</v>
      </c>
      <c r="I717" t="s">
        <v>2635</v>
      </c>
    </row>
    <row r="718" spans="1:9">
      <c r="A718" t="str">
        <f>"0016240 "</f>
        <v xml:space="preserve">0016240 </v>
      </c>
      <c r="B718" t="s">
        <v>2358</v>
      </c>
      <c r="C718" t="s">
        <v>2636</v>
      </c>
      <c r="D718" t="s">
        <v>2637</v>
      </c>
      <c r="E718">
        <v>1</v>
      </c>
      <c r="F718" t="s">
        <v>2638</v>
      </c>
      <c r="G718" t="s">
        <v>2362</v>
      </c>
      <c r="H718" t="s">
        <v>2636</v>
      </c>
      <c r="I718" t="s">
        <v>2639</v>
      </c>
    </row>
    <row r="719" spans="1:9">
      <c r="A719" t="str">
        <f>"0016242 "</f>
        <v xml:space="preserve">0016242 </v>
      </c>
      <c r="B719" t="s">
        <v>2358</v>
      </c>
      <c r="C719" t="s">
        <v>2640</v>
      </c>
      <c r="D719" t="s">
        <v>2641</v>
      </c>
      <c r="E719">
        <v>3</v>
      </c>
      <c r="F719" t="s">
        <v>2642</v>
      </c>
      <c r="G719" t="s">
        <v>2362</v>
      </c>
      <c r="H719" t="s">
        <v>2640</v>
      </c>
      <c r="I719" t="s">
        <v>2643</v>
      </c>
    </row>
    <row r="720" spans="1:9">
      <c r="A720" t="str">
        <f>"0016249 "</f>
        <v xml:space="preserve">0016249 </v>
      </c>
      <c r="B720" t="s">
        <v>2358</v>
      </c>
      <c r="C720" t="s">
        <v>2644</v>
      </c>
      <c r="D720" t="s">
        <v>2645</v>
      </c>
      <c r="E720">
        <v>1</v>
      </c>
      <c r="F720" t="s">
        <v>2646</v>
      </c>
      <c r="G720" t="s">
        <v>2362</v>
      </c>
      <c r="H720" t="s">
        <v>2644</v>
      </c>
      <c r="I720" t="s">
        <v>2647</v>
      </c>
    </row>
    <row r="721" spans="1:9">
      <c r="A721" t="str">
        <f>"0016252 "</f>
        <v xml:space="preserve">0016252 </v>
      </c>
      <c r="B721" t="s">
        <v>2358</v>
      </c>
      <c r="C721" t="s">
        <v>2648</v>
      </c>
      <c r="D721" t="s">
        <v>2649</v>
      </c>
      <c r="E721">
        <v>1</v>
      </c>
      <c r="F721" t="s">
        <v>2650</v>
      </c>
      <c r="G721" t="s">
        <v>2362</v>
      </c>
      <c r="H721" t="s">
        <v>2648</v>
      </c>
      <c r="I721" t="s">
        <v>2651</v>
      </c>
    </row>
    <row r="722" spans="1:9">
      <c r="A722" t="str">
        <f>"0016253 "</f>
        <v xml:space="preserve">0016253 </v>
      </c>
      <c r="B722" t="s">
        <v>2358</v>
      </c>
      <c r="C722" t="s">
        <v>2652</v>
      </c>
      <c r="D722" t="s">
        <v>2653</v>
      </c>
      <c r="E722">
        <v>1</v>
      </c>
      <c r="F722" t="s">
        <v>2654</v>
      </c>
      <c r="G722" t="s">
        <v>2362</v>
      </c>
      <c r="H722" t="s">
        <v>2652</v>
      </c>
      <c r="I722" t="s">
        <v>2655</v>
      </c>
    </row>
    <row r="723" spans="1:9">
      <c r="A723" t="str">
        <f>"0016266 "</f>
        <v xml:space="preserve">0016266 </v>
      </c>
      <c r="B723" t="s">
        <v>2358</v>
      </c>
      <c r="C723" t="s">
        <v>2656</v>
      </c>
      <c r="D723" t="s">
        <v>2657</v>
      </c>
      <c r="E723">
        <v>1</v>
      </c>
      <c r="F723" t="s">
        <v>2658</v>
      </c>
      <c r="G723" t="s">
        <v>2362</v>
      </c>
      <c r="H723" t="s">
        <v>2656</v>
      </c>
      <c r="I723" t="s">
        <v>2659</v>
      </c>
    </row>
    <row r="724" spans="1:9">
      <c r="A724" t="str">
        <f>"0016285 "</f>
        <v xml:space="preserve">0016285 </v>
      </c>
      <c r="B724" t="s">
        <v>2358</v>
      </c>
      <c r="C724" t="s">
        <v>2660</v>
      </c>
      <c r="D724" t="s">
        <v>2661</v>
      </c>
      <c r="E724">
        <v>1</v>
      </c>
      <c r="F724" t="s">
        <v>2662</v>
      </c>
      <c r="G724" t="s">
        <v>2362</v>
      </c>
      <c r="H724" t="s">
        <v>2660</v>
      </c>
      <c r="I724" t="s">
        <v>2663</v>
      </c>
    </row>
    <row r="725" spans="1:9">
      <c r="A725" t="str">
        <f>"0016294 "</f>
        <v xml:space="preserve">0016294 </v>
      </c>
      <c r="B725" t="s">
        <v>2358</v>
      </c>
      <c r="C725" t="s">
        <v>2664</v>
      </c>
      <c r="D725" t="s">
        <v>2665</v>
      </c>
      <c r="E725">
        <v>1</v>
      </c>
      <c r="F725" t="s">
        <v>2666</v>
      </c>
      <c r="G725" t="s">
        <v>2362</v>
      </c>
      <c r="H725" t="s">
        <v>2664</v>
      </c>
      <c r="I725" t="s">
        <v>2667</v>
      </c>
    </row>
    <row r="726" spans="1:9">
      <c r="A726" t="str">
        <f>"0016295 "</f>
        <v xml:space="preserve">0016295 </v>
      </c>
      <c r="B726" t="s">
        <v>2358</v>
      </c>
      <c r="C726" t="s">
        <v>2668</v>
      </c>
      <c r="D726" t="s">
        <v>2669</v>
      </c>
      <c r="E726">
        <v>1</v>
      </c>
      <c r="F726" t="s">
        <v>2670</v>
      </c>
      <c r="G726" t="s">
        <v>2362</v>
      </c>
      <c r="H726" t="s">
        <v>2668</v>
      </c>
      <c r="I726" t="s">
        <v>2671</v>
      </c>
    </row>
    <row r="727" spans="1:9">
      <c r="A727" t="str">
        <f>"0016309 "</f>
        <v xml:space="preserve">0016309 </v>
      </c>
      <c r="B727" t="s">
        <v>2358</v>
      </c>
      <c r="C727" t="s">
        <v>2672</v>
      </c>
      <c r="D727" t="s">
        <v>2673</v>
      </c>
      <c r="E727">
        <v>1</v>
      </c>
      <c r="F727" t="s">
        <v>2666</v>
      </c>
      <c r="G727" t="s">
        <v>2362</v>
      </c>
      <c r="H727" t="s">
        <v>2672</v>
      </c>
      <c r="I727" t="s">
        <v>2674</v>
      </c>
    </row>
    <row r="728" spans="1:9">
      <c r="A728" t="str">
        <f>"0016324 "</f>
        <v xml:space="preserve">0016324 </v>
      </c>
      <c r="B728" t="s">
        <v>2358</v>
      </c>
      <c r="C728" t="s">
        <v>2675</v>
      </c>
      <c r="D728" t="s">
        <v>2676</v>
      </c>
      <c r="E728">
        <v>1</v>
      </c>
      <c r="F728" t="s">
        <v>2677</v>
      </c>
      <c r="G728" t="s">
        <v>2362</v>
      </c>
      <c r="H728" t="s">
        <v>2675</v>
      </c>
      <c r="I728" t="s">
        <v>2678</v>
      </c>
    </row>
    <row r="729" spans="1:9">
      <c r="A729" t="str">
        <f>"0016328 "</f>
        <v xml:space="preserve">0016328 </v>
      </c>
      <c r="B729" t="s">
        <v>2358</v>
      </c>
      <c r="C729" t="s">
        <v>2679</v>
      </c>
      <c r="D729" t="s">
        <v>2680</v>
      </c>
      <c r="E729">
        <v>1</v>
      </c>
      <c r="F729" t="s">
        <v>2681</v>
      </c>
      <c r="G729" t="s">
        <v>2362</v>
      </c>
      <c r="H729" t="s">
        <v>2679</v>
      </c>
      <c r="I729" t="s">
        <v>2682</v>
      </c>
    </row>
    <row r="730" spans="1:9">
      <c r="A730" t="str">
        <f>"0016330 "</f>
        <v xml:space="preserve">0016330 </v>
      </c>
      <c r="B730" t="s">
        <v>2358</v>
      </c>
      <c r="C730" t="s">
        <v>2683</v>
      </c>
      <c r="D730" t="s">
        <v>2684</v>
      </c>
      <c r="E730">
        <v>1</v>
      </c>
      <c r="F730" t="s">
        <v>2685</v>
      </c>
      <c r="G730" t="s">
        <v>2362</v>
      </c>
      <c r="H730" t="s">
        <v>2683</v>
      </c>
      <c r="I730" t="s">
        <v>2686</v>
      </c>
    </row>
    <row r="731" spans="1:9">
      <c r="A731" t="str">
        <f>"0016347 "</f>
        <v xml:space="preserve">0016347 </v>
      </c>
      <c r="B731" t="s">
        <v>2358</v>
      </c>
      <c r="C731" t="s">
        <v>2687</v>
      </c>
      <c r="D731" t="s">
        <v>2688</v>
      </c>
      <c r="E731">
        <v>1</v>
      </c>
      <c r="F731" t="s">
        <v>2689</v>
      </c>
      <c r="G731" t="s">
        <v>2362</v>
      </c>
      <c r="H731" t="s">
        <v>2687</v>
      </c>
      <c r="I731" t="s">
        <v>2690</v>
      </c>
    </row>
    <row r="732" spans="1:9">
      <c r="A732" t="str">
        <f>"0016352 "</f>
        <v xml:space="preserve">0016352 </v>
      </c>
      <c r="B732" t="s">
        <v>2358</v>
      </c>
      <c r="C732" t="s">
        <v>2691</v>
      </c>
      <c r="D732" t="s">
        <v>2692</v>
      </c>
      <c r="E732">
        <v>1</v>
      </c>
      <c r="F732" t="s">
        <v>2693</v>
      </c>
      <c r="G732" t="s">
        <v>2362</v>
      </c>
      <c r="H732" t="s">
        <v>2691</v>
      </c>
      <c r="I732" t="s">
        <v>2694</v>
      </c>
    </row>
    <row r="733" spans="1:9">
      <c r="A733" t="str">
        <f>"0016354 "</f>
        <v xml:space="preserve">0016354 </v>
      </c>
      <c r="B733" t="s">
        <v>2358</v>
      </c>
      <c r="C733" t="s">
        <v>2695</v>
      </c>
      <c r="D733" t="s">
        <v>2696</v>
      </c>
      <c r="E733">
        <v>1</v>
      </c>
      <c r="F733" t="s">
        <v>2697</v>
      </c>
      <c r="G733" t="s">
        <v>2362</v>
      </c>
      <c r="H733" t="s">
        <v>2695</v>
      </c>
      <c r="I733" t="s">
        <v>2698</v>
      </c>
    </row>
    <row r="734" spans="1:9">
      <c r="A734" t="str">
        <f>"0016355 "</f>
        <v xml:space="preserve">0016355 </v>
      </c>
      <c r="B734" t="s">
        <v>2358</v>
      </c>
      <c r="C734" t="s">
        <v>2699</v>
      </c>
      <c r="D734" t="s">
        <v>2700</v>
      </c>
      <c r="E734">
        <v>2</v>
      </c>
      <c r="F734" t="s">
        <v>2701</v>
      </c>
      <c r="G734" t="s">
        <v>2362</v>
      </c>
      <c r="H734" t="s">
        <v>2699</v>
      </c>
      <c r="I734" t="s">
        <v>2702</v>
      </c>
    </row>
    <row r="735" spans="1:9">
      <c r="A735" t="str">
        <f>"0016358 "</f>
        <v xml:space="preserve">0016358 </v>
      </c>
      <c r="B735" t="s">
        <v>2358</v>
      </c>
      <c r="C735" t="s">
        <v>2703</v>
      </c>
      <c r="D735" t="s">
        <v>2704</v>
      </c>
      <c r="E735">
        <v>2</v>
      </c>
      <c r="F735" t="s">
        <v>2705</v>
      </c>
      <c r="G735" t="s">
        <v>2362</v>
      </c>
      <c r="H735" t="s">
        <v>2703</v>
      </c>
      <c r="I735" t="s">
        <v>2706</v>
      </c>
    </row>
    <row r="736" spans="1:9">
      <c r="A736" t="str">
        <f>"0016359 "</f>
        <v xml:space="preserve">0016359 </v>
      </c>
      <c r="B736" t="s">
        <v>2358</v>
      </c>
      <c r="C736" t="s">
        <v>2707</v>
      </c>
      <c r="D736" t="s">
        <v>2708</v>
      </c>
      <c r="E736">
        <v>4</v>
      </c>
      <c r="F736" t="s">
        <v>2709</v>
      </c>
      <c r="G736" t="s">
        <v>2362</v>
      </c>
      <c r="H736" t="s">
        <v>2707</v>
      </c>
      <c r="I736" t="s">
        <v>2710</v>
      </c>
    </row>
    <row r="737" spans="1:9">
      <c r="A737" t="str">
        <f>"0016395 "</f>
        <v xml:space="preserve">0016395 </v>
      </c>
      <c r="B737" t="s">
        <v>2358</v>
      </c>
      <c r="C737" t="s">
        <v>2711</v>
      </c>
      <c r="D737" t="s">
        <v>2712</v>
      </c>
      <c r="E737">
        <v>1</v>
      </c>
      <c r="F737" t="s">
        <v>2713</v>
      </c>
      <c r="G737" t="s">
        <v>2362</v>
      </c>
      <c r="H737" t="s">
        <v>2711</v>
      </c>
      <c r="I737" t="s">
        <v>2714</v>
      </c>
    </row>
    <row r="738" spans="1:9">
      <c r="A738" t="str">
        <f>"0016403 "</f>
        <v xml:space="preserve">0016403 </v>
      </c>
      <c r="B738" t="s">
        <v>2358</v>
      </c>
      <c r="C738" t="s">
        <v>2715</v>
      </c>
      <c r="D738" t="s">
        <v>2716</v>
      </c>
      <c r="E738">
        <v>2</v>
      </c>
      <c r="F738" t="s">
        <v>2717</v>
      </c>
      <c r="G738" t="s">
        <v>2362</v>
      </c>
      <c r="H738" t="s">
        <v>2715</v>
      </c>
      <c r="I738" t="s">
        <v>2718</v>
      </c>
    </row>
    <row r="739" spans="1:9">
      <c r="A739" t="str">
        <f>"0016404 "</f>
        <v xml:space="preserve">0016404 </v>
      </c>
      <c r="B739" t="s">
        <v>2358</v>
      </c>
      <c r="C739" t="s">
        <v>2719</v>
      </c>
      <c r="D739" t="s">
        <v>2720</v>
      </c>
      <c r="E739">
        <v>2</v>
      </c>
      <c r="F739" t="s">
        <v>2721</v>
      </c>
      <c r="G739" t="s">
        <v>2362</v>
      </c>
      <c r="H739" t="s">
        <v>2719</v>
      </c>
      <c r="I739" t="s">
        <v>2722</v>
      </c>
    </row>
    <row r="740" spans="1:9">
      <c r="A740" t="str">
        <f>"0016426 "</f>
        <v xml:space="preserve">0016426 </v>
      </c>
      <c r="B740" t="s">
        <v>2358</v>
      </c>
      <c r="C740" t="s">
        <v>2723</v>
      </c>
      <c r="D740" t="s">
        <v>2724</v>
      </c>
      <c r="E740">
        <v>1</v>
      </c>
      <c r="F740" t="s">
        <v>2394</v>
      </c>
      <c r="G740" t="s">
        <v>2362</v>
      </c>
      <c r="H740" t="s">
        <v>2723</v>
      </c>
      <c r="I740" t="s">
        <v>2725</v>
      </c>
    </row>
    <row r="741" spans="1:9">
      <c r="A741" t="str">
        <f>"0016455 "</f>
        <v xml:space="preserve">0016455 </v>
      </c>
      <c r="B741" t="s">
        <v>2358</v>
      </c>
      <c r="C741" t="s">
        <v>2726</v>
      </c>
      <c r="D741" t="s">
        <v>2727</v>
      </c>
      <c r="E741">
        <v>1</v>
      </c>
      <c r="F741" t="s">
        <v>2728</v>
      </c>
      <c r="G741" t="s">
        <v>2362</v>
      </c>
      <c r="H741" t="s">
        <v>2726</v>
      </c>
      <c r="I741" t="s">
        <v>2729</v>
      </c>
    </row>
    <row r="742" spans="1:9">
      <c r="A742" t="str">
        <f>"0090622 "</f>
        <v xml:space="preserve">0090622 </v>
      </c>
      <c r="B742" t="s">
        <v>2358</v>
      </c>
      <c r="C742" t="s">
        <v>2730</v>
      </c>
      <c r="D742" t="s">
        <v>2731</v>
      </c>
      <c r="E742">
        <v>1</v>
      </c>
      <c r="F742" t="s">
        <v>2732</v>
      </c>
      <c r="G742" t="s">
        <v>2362</v>
      </c>
      <c r="H742" t="s">
        <v>2730</v>
      </c>
      <c r="I742" t="s">
        <v>2733</v>
      </c>
    </row>
    <row r="743" spans="1:9">
      <c r="A743" t="str">
        <f>"0016463 "</f>
        <v xml:space="preserve">0016463 </v>
      </c>
      <c r="B743" t="s">
        <v>2358</v>
      </c>
      <c r="C743" t="s">
        <v>2734</v>
      </c>
      <c r="D743" t="s">
        <v>2735</v>
      </c>
      <c r="E743">
        <v>1</v>
      </c>
      <c r="F743" t="s">
        <v>2736</v>
      </c>
      <c r="G743" t="s">
        <v>2362</v>
      </c>
      <c r="H743" t="s">
        <v>2734</v>
      </c>
      <c r="I743" t="s">
        <v>2737</v>
      </c>
    </row>
    <row r="744" spans="1:9">
      <c r="A744" t="str">
        <f>"0016508 "</f>
        <v xml:space="preserve">0016508 </v>
      </c>
      <c r="B744" t="s">
        <v>2358</v>
      </c>
      <c r="C744" t="s">
        <v>2738</v>
      </c>
      <c r="D744" t="s">
        <v>2739</v>
      </c>
      <c r="E744">
        <v>4</v>
      </c>
      <c r="F744" t="s">
        <v>2740</v>
      </c>
      <c r="G744" t="s">
        <v>2362</v>
      </c>
      <c r="H744" t="s">
        <v>2738</v>
      </c>
      <c r="I744" t="s">
        <v>2741</v>
      </c>
    </row>
    <row r="745" spans="1:9">
      <c r="A745" t="str">
        <f>"0016510 "</f>
        <v xml:space="preserve">0016510 </v>
      </c>
      <c r="B745" t="s">
        <v>2358</v>
      </c>
      <c r="C745" t="s">
        <v>2742</v>
      </c>
      <c r="D745" t="s">
        <v>2743</v>
      </c>
      <c r="E745">
        <v>1</v>
      </c>
      <c r="F745" t="s">
        <v>2744</v>
      </c>
      <c r="G745" t="s">
        <v>2362</v>
      </c>
      <c r="H745" t="s">
        <v>2742</v>
      </c>
      <c r="I745" t="s">
        <v>2745</v>
      </c>
    </row>
    <row r="746" spans="1:9">
      <c r="A746" t="str">
        <f>"0016519 "</f>
        <v xml:space="preserve">0016519 </v>
      </c>
      <c r="B746" t="s">
        <v>2358</v>
      </c>
      <c r="C746" t="s">
        <v>2746</v>
      </c>
      <c r="D746" t="s">
        <v>2747</v>
      </c>
      <c r="E746">
        <v>1</v>
      </c>
      <c r="F746" t="s">
        <v>2748</v>
      </c>
      <c r="G746" t="s">
        <v>2362</v>
      </c>
      <c r="H746" t="s">
        <v>2746</v>
      </c>
      <c r="I746" t="s">
        <v>2749</v>
      </c>
    </row>
    <row r="747" spans="1:9">
      <c r="A747" t="str">
        <f>"0016545 "</f>
        <v xml:space="preserve">0016545 </v>
      </c>
      <c r="B747" t="s">
        <v>2358</v>
      </c>
      <c r="C747" t="s">
        <v>2750</v>
      </c>
      <c r="D747" t="s">
        <v>2751</v>
      </c>
      <c r="E747">
        <v>1</v>
      </c>
      <c r="F747" t="s">
        <v>2752</v>
      </c>
      <c r="G747" t="s">
        <v>2362</v>
      </c>
      <c r="H747" t="s">
        <v>2750</v>
      </c>
      <c r="I747" t="s">
        <v>2753</v>
      </c>
    </row>
    <row r="748" spans="1:9">
      <c r="A748" t="str">
        <f>"0016547 "</f>
        <v xml:space="preserve">0016547 </v>
      </c>
      <c r="B748" t="s">
        <v>2358</v>
      </c>
      <c r="C748" t="s">
        <v>2754</v>
      </c>
      <c r="D748" t="s">
        <v>2755</v>
      </c>
      <c r="E748">
        <v>1</v>
      </c>
      <c r="F748" t="s">
        <v>2756</v>
      </c>
      <c r="G748" t="s">
        <v>2362</v>
      </c>
      <c r="H748" t="s">
        <v>2754</v>
      </c>
      <c r="I748" t="s">
        <v>2757</v>
      </c>
    </row>
    <row r="749" spans="1:9">
      <c r="A749" t="str">
        <f>"0016577 "</f>
        <v xml:space="preserve">0016577 </v>
      </c>
      <c r="B749" t="s">
        <v>2358</v>
      </c>
      <c r="C749" t="s">
        <v>2758</v>
      </c>
      <c r="D749" t="s">
        <v>2759</v>
      </c>
      <c r="E749">
        <v>1</v>
      </c>
      <c r="F749" t="s">
        <v>2760</v>
      </c>
      <c r="G749" t="s">
        <v>2362</v>
      </c>
      <c r="H749" t="s">
        <v>2758</v>
      </c>
      <c r="I749" t="s">
        <v>2761</v>
      </c>
    </row>
    <row r="750" spans="1:9">
      <c r="A750" t="str">
        <f>"0157419 "</f>
        <v xml:space="preserve">0157419 </v>
      </c>
      <c r="B750" t="s">
        <v>2358</v>
      </c>
      <c r="C750" t="s">
        <v>2762</v>
      </c>
      <c r="D750" t="s">
        <v>2763</v>
      </c>
      <c r="E750">
        <v>1</v>
      </c>
      <c r="F750" t="s">
        <v>2764</v>
      </c>
      <c r="G750" t="s">
        <v>2362</v>
      </c>
      <c r="H750" t="s">
        <v>2762</v>
      </c>
      <c r="I750" t="s">
        <v>2765</v>
      </c>
    </row>
    <row r="751" spans="1:9">
      <c r="A751" t="str">
        <f>"0016609 "</f>
        <v xml:space="preserve">0016609 </v>
      </c>
      <c r="B751" t="s">
        <v>2358</v>
      </c>
      <c r="C751" t="s">
        <v>2766</v>
      </c>
      <c r="D751" t="s">
        <v>2767</v>
      </c>
      <c r="E751">
        <v>1</v>
      </c>
      <c r="F751" t="s">
        <v>2768</v>
      </c>
      <c r="G751" t="s">
        <v>2362</v>
      </c>
      <c r="H751" t="s">
        <v>2766</v>
      </c>
      <c r="I751" t="s">
        <v>2769</v>
      </c>
    </row>
    <row r="752" spans="1:9">
      <c r="A752" t="str">
        <f>"0016611 "</f>
        <v xml:space="preserve">0016611 </v>
      </c>
      <c r="B752" t="s">
        <v>2358</v>
      </c>
      <c r="C752" t="s">
        <v>2770</v>
      </c>
      <c r="D752" t="s">
        <v>2771</v>
      </c>
      <c r="E752">
        <v>2</v>
      </c>
      <c r="F752" t="s">
        <v>2772</v>
      </c>
      <c r="G752" t="s">
        <v>2362</v>
      </c>
      <c r="H752" t="s">
        <v>2770</v>
      </c>
      <c r="I752" t="s">
        <v>2773</v>
      </c>
    </row>
    <row r="753" spans="1:9">
      <c r="A753" t="str">
        <f>"0016627 "</f>
        <v xml:space="preserve">0016627 </v>
      </c>
      <c r="B753" t="s">
        <v>2358</v>
      </c>
      <c r="C753" t="s">
        <v>2774</v>
      </c>
      <c r="D753" t="s">
        <v>2775</v>
      </c>
      <c r="E753">
        <v>1</v>
      </c>
      <c r="F753" t="s">
        <v>2776</v>
      </c>
      <c r="G753" t="s">
        <v>2362</v>
      </c>
      <c r="H753" t="s">
        <v>2774</v>
      </c>
      <c r="I753" t="s">
        <v>2777</v>
      </c>
    </row>
    <row r="754" spans="1:9">
      <c r="A754" t="str">
        <f>"0016633 "</f>
        <v xml:space="preserve">0016633 </v>
      </c>
      <c r="B754" t="s">
        <v>2358</v>
      </c>
      <c r="C754" t="s">
        <v>2778</v>
      </c>
      <c r="D754" t="s">
        <v>2779</v>
      </c>
      <c r="E754">
        <v>1</v>
      </c>
      <c r="F754" t="s">
        <v>2780</v>
      </c>
      <c r="G754" t="s">
        <v>2362</v>
      </c>
      <c r="H754" t="s">
        <v>2778</v>
      </c>
      <c r="I754" t="s">
        <v>2781</v>
      </c>
    </row>
    <row r="755" spans="1:9">
      <c r="A755" t="str">
        <f>"0016644 "</f>
        <v xml:space="preserve">0016644 </v>
      </c>
      <c r="B755" t="s">
        <v>2358</v>
      </c>
      <c r="C755" t="s">
        <v>2782</v>
      </c>
      <c r="D755" t="s">
        <v>2783</v>
      </c>
      <c r="E755">
        <v>1</v>
      </c>
      <c r="F755" t="s">
        <v>2784</v>
      </c>
      <c r="G755" t="s">
        <v>2362</v>
      </c>
      <c r="H755" t="s">
        <v>2782</v>
      </c>
      <c r="I755" t="s">
        <v>2785</v>
      </c>
    </row>
    <row r="756" spans="1:9">
      <c r="A756" t="str">
        <f>"0016684 "</f>
        <v xml:space="preserve">0016684 </v>
      </c>
      <c r="B756" t="s">
        <v>2358</v>
      </c>
      <c r="C756" t="s">
        <v>2786</v>
      </c>
      <c r="D756" t="s">
        <v>2787</v>
      </c>
      <c r="E756">
        <v>1</v>
      </c>
      <c r="F756" t="s">
        <v>2788</v>
      </c>
      <c r="G756" t="s">
        <v>2362</v>
      </c>
      <c r="H756" t="s">
        <v>2786</v>
      </c>
      <c r="I756" t="s">
        <v>402</v>
      </c>
    </row>
    <row r="757" spans="1:9">
      <c r="A757" t="str">
        <f>"0016705 "</f>
        <v xml:space="preserve">0016705 </v>
      </c>
      <c r="B757" t="s">
        <v>2358</v>
      </c>
      <c r="C757" t="s">
        <v>2789</v>
      </c>
      <c r="D757" t="s">
        <v>2790</v>
      </c>
      <c r="E757">
        <v>1</v>
      </c>
      <c r="F757" t="s">
        <v>2791</v>
      </c>
      <c r="G757" t="s">
        <v>2362</v>
      </c>
      <c r="H757" t="s">
        <v>2789</v>
      </c>
      <c r="I757" t="s">
        <v>2792</v>
      </c>
    </row>
    <row r="758" spans="1:9">
      <c r="A758" t="str">
        <f>"0016708 "</f>
        <v xml:space="preserve">0016708 </v>
      </c>
      <c r="B758" t="s">
        <v>2358</v>
      </c>
      <c r="C758" t="s">
        <v>2793</v>
      </c>
      <c r="D758" t="s">
        <v>2794</v>
      </c>
      <c r="E758">
        <v>1</v>
      </c>
      <c r="F758" t="s">
        <v>2795</v>
      </c>
      <c r="G758" t="s">
        <v>2362</v>
      </c>
      <c r="H758" t="s">
        <v>2793</v>
      </c>
      <c r="I758" t="s">
        <v>2796</v>
      </c>
    </row>
    <row r="759" spans="1:9">
      <c r="A759" t="str">
        <f>"0016732 "</f>
        <v xml:space="preserve">0016732 </v>
      </c>
      <c r="B759" t="s">
        <v>2358</v>
      </c>
      <c r="C759" t="s">
        <v>2797</v>
      </c>
      <c r="D759" t="s">
        <v>2798</v>
      </c>
      <c r="E759">
        <v>2</v>
      </c>
      <c r="F759" t="s">
        <v>2670</v>
      </c>
      <c r="G759" t="s">
        <v>2362</v>
      </c>
      <c r="H759" t="s">
        <v>2797</v>
      </c>
      <c r="I759" t="s">
        <v>2799</v>
      </c>
    </row>
    <row r="760" spans="1:9">
      <c r="A760" t="str">
        <f>"0016740 "</f>
        <v xml:space="preserve">0016740 </v>
      </c>
      <c r="B760" t="s">
        <v>2358</v>
      </c>
      <c r="C760" t="s">
        <v>2800</v>
      </c>
      <c r="D760" t="s">
        <v>2801</v>
      </c>
      <c r="E760">
        <v>2</v>
      </c>
      <c r="F760" t="s">
        <v>2802</v>
      </c>
      <c r="G760" t="s">
        <v>2362</v>
      </c>
      <c r="H760" t="s">
        <v>2800</v>
      </c>
      <c r="I760" t="s">
        <v>2803</v>
      </c>
    </row>
    <row r="761" spans="1:9">
      <c r="A761" t="str">
        <f>"0016762 "</f>
        <v xml:space="preserve">0016762 </v>
      </c>
      <c r="B761" t="s">
        <v>2358</v>
      </c>
      <c r="C761" t="s">
        <v>2804</v>
      </c>
      <c r="D761" t="s">
        <v>2805</v>
      </c>
      <c r="E761">
        <v>2</v>
      </c>
      <c r="F761" t="s">
        <v>2806</v>
      </c>
      <c r="G761" t="s">
        <v>2362</v>
      </c>
      <c r="H761" t="s">
        <v>2804</v>
      </c>
      <c r="I761" t="s">
        <v>2807</v>
      </c>
    </row>
    <row r="762" spans="1:9">
      <c r="A762" t="str">
        <f>"0016787 "</f>
        <v xml:space="preserve">0016787 </v>
      </c>
      <c r="B762" t="s">
        <v>2358</v>
      </c>
      <c r="C762" t="s">
        <v>2808</v>
      </c>
      <c r="D762" t="s">
        <v>2809</v>
      </c>
      <c r="E762">
        <v>3</v>
      </c>
      <c r="F762" t="s">
        <v>2810</v>
      </c>
      <c r="G762" t="s">
        <v>2362</v>
      </c>
      <c r="H762" t="s">
        <v>2808</v>
      </c>
      <c r="I762" t="s">
        <v>2811</v>
      </c>
    </row>
    <row r="763" spans="1:9">
      <c r="A763" t="str">
        <f>"0016795 "</f>
        <v xml:space="preserve">0016795 </v>
      </c>
      <c r="B763" t="s">
        <v>2358</v>
      </c>
      <c r="C763" t="s">
        <v>2812</v>
      </c>
      <c r="D763" t="s">
        <v>2813</v>
      </c>
      <c r="E763">
        <v>1</v>
      </c>
      <c r="F763" t="s">
        <v>2814</v>
      </c>
      <c r="G763" t="s">
        <v>2362</v>
      </c>
      <c r="H763" t="s">
        <v>2812</v>
      </c>
      <c r="I763" t="s">
        <v>2815</v>
      </c>
    </row>
    <row r="764" spans="1:9">
      <c r="A764" t="str">
        <f>"0016801 "</f>
        <v xml:space="preserve">0016801 </v>
      </c>
      <c r="B764" t="s">
        <v>2358</v>
      </c>
      <c r="C764" t="s">
        <v>2816</v>
      </c>
      <c r="D764" t="s">
        <v>2817</v>
      </c>
      <c r="E764">
        <v>2</v>
      </c>
      <c r="F764" t="s">
        <v>2374</v>
      </c>
      <c r="G764" t="s">
        <v>2362</v>
      </c>
      <c r="H764" t="s">
        <v>2816</v>
      </c>
      <c r="I764" t="s">
        <v>2818</v>
      </c>
    </row>
    <row r="765" spans="1:9">
      <c r="A765" t="str">
        <f>"0016863 "</f>
        <v xml:space="preserve">0016863 </v>
      </c>
      <c r="B765" t="s">
        <v>2358</v>
      </c>
      <c r="C765" t="s">
        <v>2819</v>
      </c>
      <c r="D765" t="s">
        <v>2820</v>
      </c>
      <c r="E765">
        <v>1</v>
      </c>
      <c r="F765" t="s">
        <v>2748</v>
      </c>
      <c r="G765" t="s">
        <v>2362</v>
      </c>
      <c r="H765" t="s">
        <v>2819</v>
      </c>
      <c r="I765" t="s">
        <v>2821</v>
      </c>
    </row>
    <row r="766" spans="1:9">
      <c r="A766" t="str">
        <f>"0016871 "</f>
        <v xml:space="preserve">0016871 </v>
      </c>
      <c r="B766" t="s">
        <v>2358</v>
      </c>
      <c r="C766" t="s">
        <v>2822</v>
      </c>
      <c r="D766" t="s">
        <v>2823</v>
      </c>
      <c r="E766">
        <v>1</v>
      </c>
      <c r="F766" t="s">
        <v>2824</v>
      </c>
      <c r="G766" t="s">
        <v>2362</v>
      </c>
      <c r="H766" t="s">
        <v>2822</v>
      </c>
      <c r="I766" t="s">
        <v>2825</v>
      </c>
    </row>
    <row r="767" spans="1:9">
      <c r="A767" t="str">
        <f>"0016872 "</f>
        <v xml:space="preserve">0016872 </v>
      </c>
      <c r="B767" t="s">
        <v>2358</v>
      </c>
      <c r="C767" t="s">
        <v>2826</v>
      </c>
      <c r="D767" t="s">
        <v>2827</v>
      </c>
      <c r="E767">
        <v>1</v>
      </c>
      <c r="F767" t="s">
        <v>2828</v>
      </c>
      <c r="G767" t="s">
        <v>2362</v>
      </c>
      <c r="H767" t="s">
        <v>2826</v>
      </c>
      <c r="I767" t="s">
        <v>2829</v>
      </c>
    </row>
    <row r="768" spans="1:9">
      <c r="A768" t="str">
        <f>"0020129 "</f>
        <v xml:space="preserve">0020129 </v>
      </c>
      <c r="B768" t="s">
        <v>2358</v>
      </c>
      <c r="C768" t="s">
        <v>2830</v>
      </c>
      <c r="D768" t="s">
        <v>2831</v>
      </c>
      <c r="E768">
        <v>1</v>
      </c>
      <c r="F768" t="s">
        <v>2802</v>
      </c>
      <c r="G768" t="s">
        <v>2362</v>
      </c>
      <c r="H768" t="s">
        <v>2830</v>
      </c>
      <c r="I768" t="s">
        <v>2832</v>
      </c>
    </row>
    <row r="769" spans="1:9">
      <c r="A769" t="str">
        <f>"0033752 "</f>
        <v xml:space="preserve">0033752 </v>
      </c>
      <c r="B769" t="s">
        <v>2358</v>
      </c>
      <c r="C769" t="s">
        <v>2833</v>
      </c>
      <c r="D769" t="s">
        <v>2834</v>
      </c>
      <c r="E769">
        <v>4</v>
      </c>
      <c r="F769" t="s">
        <v>930</v>
      </c>
      <c r="G769" t="s">
        <v>2362</v>
      </c>
      <c r="H769" t="s">
        <v>2833</v>
      </c>
      <c r="I769" t="s">
        <v>2835</v>
      </c>
    </row>
    <row r="770" spans="1:9">
      <c r="A770" t="str">
        <f>"0016892 "</f>
        <v xml:space="preserve">0016892 </v>
      </c>
      <c r="B770" t="s">
        <v>2358</v>
      </c>
      <c r="C770" t="s">
        <v>2836</v>
      </c>
      <c r="D770" t="s">
        <v>2837</v>
      </c>
      <c r="E770">
        <v>2</v>
      </c>
      <c r="F770" t="s">
        <v>2838</v>
      </c>
      <c r="G770" t="s">
        <v>2362</v>
      </c>
      <c r="H770" t="s">
        <v>2836</v>
      </c>
      <c r="I770" t="s">
        <v>2839</v>
      </c>
    </row>
    <row r="771" spans="1:9">
      <c r="A771" t="str">
        <f>"0016904 "</f>
        <v xml:space="preserve">0016904 </v>
      </c>
      <c r="B771" t="s">
        <v>2358</v>
      </c>
      <c r="C771" t="s">
        <v>2840</v>
      </c>
      <c r="D771" t="s">
        <v>2841</v>
      </c>
      <c r="E771">
        <v>2</v>
      </c>
      <c r="F771" t="s">
        <v>2842</v>
      </c>
      <c r="G771" t="s">
        <v>2362</v>
      </c>
      <c r="H771" t="s">
        <v>2840</v>
      </c>
      <c r="I771" t="s">
        <v>2843</v>
      </c>
    </row>
    <row r="772" spans="1:9">
      <c r="A772" t="str">
        <f>"0016919 "</f>
        <v xml:space="preserve">0016919 </v>
      </c>
      <c r="B772" t="s">
        <v>2358</v>
      </c>
      <c r="C772" t="s">
        <v>2844</v>
      </c>
      <c r="D772" t="s">
        <v>2845</v>
      </c>
      <c r="E772">
        <v>1</v>
      </c>
      <c r="F772" t="s">
        <v>2846</v>
      </c>
      <c r="G772" t="s">
        <v>2362</v>
      </c>
      <c r="H772" t="s">
        <v>2844</v>
      </c>
      <c r="I772" t="s">
        <v>2847</v>
      </c>
    </row>
    <row r="773" spans="1:9">
      <c r="A773" t="str">
        <f>"0016925 "</f>
        <v xml:space="preserve">0016925 </v>
      </c>
      <c r="B773" t="s">
        <v>2358</v>
      </c>
      <c r="C773" t="s">
        <v>2848</v>
      </c>
      <c r="D773" t="s">
        <v>2849</v>
      </c>
      <c r="E773">
        <v>1</v>
      </c>
      <c r="F773" t="s">
        <v>2850</v>
      </c>
      <c r="G773" t="s">
        <v>2362</v>
      </c>
      <c r="H773" t="s">
        <v>2848</v>
      </c>
      <c r="I773" t="s">
        <v>2851</v>
      </c>
    </row>
    <row r="774" spans="1:9">
      <c r="A774" t="str">
        <f>"0039006 "</f>
        <v xml:space="preserve">0039006 </v>
      </c>
      <c r="B774" t="s">
        <v>2358</v>
      </c>
      <c r="C774" t="s">
        <v>2852</v>
      </c>
      <c r="D774" t="s">
        <v>2853</v>
      </c>
      <c r="E774">
        <v>1</v>
      </c>
      <c r="F774" t="s">
        <v>2854</v>
      </c>
      <c r="G774" t="s">
        <v>2362</v>
      </c>
      <c r="H774" t="s">
        <v>2852</v>
      </c>
      <c r="I774" t="s">
        <v>2855</v>
      </c>
    </row>
    <row r="775" spans="1:9">
      <c r="A775" t="str">
        <f>"0038104 "</f>
        <v xml:space="preserve">0038104 </v>
      </c>
      <c r="B775" t="s">
        <v>2358</v>
      </c>
      <c r="C775" t="s">
        <v>2856</v>
      </c>
      <c r="D775" t="s">
        <v>2857</v>
      </c>
      <c r="E775">
        <v>1</v>
      </c>
      <c r="F775" t="s">
        <v>2858</v>
      </c>
      <c r="G775" t="s">
        <v>2362</v>
      </c>
      <c r="H775" t="s">
        <v>2856</v>
      </c>
      <c r="I775" t="s">
        <v>2859</v>
      </c>
    </row>
    <row r="776" spans="1:9">
      <c r="A776" t="str">
        <f>"0016930 "</f>
        <v xml:space="preserve">0016930 </v>
      </c>
      <c r="B776" t="s">
        <v>2358</v>
      </c>
      <c r="C776" t="s">
        <v>2860</v>
      </c>
      <c r="D776" t="s">
        <v>2861</v>
      </c>
      <c r="E776">
        <v>1</v>
      </c>
      <c r="F776" t="s">
        <v>2862</v>
      </c>
      <c r="G776" t="s">
        <v>2362</v>
      </c>
      <c r="H776" t="s">
        <v>2860</v>
      </c>
      <c r="I776" t="s">
        <v>2863</v>
      </c>
    </row>
    <row r="777" spans="1:9">
      <c r="A777" t="str">
        <f>"0016940 "</f>
        <v xml:space="preserve">0016940 </v>
      </c>
      <c r="B777" t="s">
        <v>2358</v>
      </c>
      <c r="C777" t="s">
        <v>2864</v>
      </c>
      <c r="D777" t="s">
        <v>2865</v>
      </c>
      <c r="E777">
        <v>1</v>
      </c>
      <c r="F777" t="s">
        <v>2866</v>
      </c>
      <c r="G777" t="s">
        <v>2362</v>
      </c>
      <c r="H777" t="s">
        <v>2864</v>
      </c>
      <c r="I777" t="s">
        <v>2867</v>
      </c>
    </row>
    <row r="778" spans="1:9">
      <c r="A778" t="str">
        <f>"0016941 "</f>
        <v xml:space="preserve">0016941 </v>
      </c>
      <c r="B778" t="s">
        <v>2358</v>
      </c>
      <c r="C778" t="s">
        <v>2868</v>
      </c>
      <c r="D778" t="s">
        <v>2869</v>
      </c>
      <c r="E778">
        <v>2</v>
      </c>
      <c r="F778" t="s">
        <v>2870</v>
      </c>
      <c r="G778" t="s">
        <v>2362</v>
      </c>
      <c r="H778" t="s">
        <v>2868</v>
      </c>
      <c r="I778" t="s">
        <v>2871</v>
      </c>
    </row>
    <row r="779" spans="1:9">
      <c r="A779" t="str">
        <f>"0016951 "</f>
        <v xml:space="preserve">0016951 </v>
      </c>
      <c r="B779" t="s">
        <v>2358</v>
      </c>
      <c r="C779" t="s">
        <v>2872</v>
      </c>
      <c r="D779" t="s">
        <v>2873</v>
      </c>
      <c r="E779">
        <v>2</v>
      </c>
      <c r="F779" t="s">
        <v>2874</v>
      </c>
      <c r="G779" t="s">
        <v>2362</v>
      </c>
      <c r="H779" t="s">
        <v>2872</v>
      </c>
      <c r="I779" t="s">
        <v>2875</v>
      </c>
    </row>
    <row r="780" spans="1:9">
      <c r="A780" t="str">
        <f>"0033753 "</f>
        <v xml:space="preserve">0033753 </v>
      </c>
      <c r="B780" t="s">
        <v>2358</v>
      </c>
      <c r="C780" t="s">
        <v>2876</v>
      </c>
      <c r="D780" t="s">
        <v>2877</v>
      </c>
      <c r="E780">
        <v>1</v>
      </c>
      <c r="F780" t="s">
        <v>2878</v>
      </c>
      <c r="G780" t="s">
        <v>2362</v>
      </c>
      <c r="H780" t="s">
        <v>2876</v>
      </c>
      <c r="I780" t="s">
        <v>2879</v>
      </c>
    </row>
    <row r="781" spans="1:9">
      <c r="A781" t="str">
        <f>"0016968 "</f>
        <v xml:space="preserve">0016968 </v>
      </c>
      <c r="B781" t="s">
        <v>2358</v>
      </c>
      <c r="C781" t="s">
        <v>2880</v>
      </c>
      <c r="D781" t="s">
        <v>2881</v>
      </c>
      <c r="E781">
        <v>4</v>
      </c>
      <c r="F781" t="s">
        <v>2882</v>
      </c>
      <c r="G781" t="s">
        <v>2362</v>
      </c>
      <c r="H781" t="s">
        <v>2880</v>
      </c>
      <c r="I781" t="s">
        <v>2883</v>
      </c>
    </row>
    <row r="782" spans="1:9">
      <c r="A782" t="str">
        <f>"0016976 "</f>
        <v xml:space="preserve">0016976 </v>
      </c>
      <c r="B782" t="s">
        <v>2358</v>
      </c>
      <c r="C782" t="s">
        <v>2884</v>
      </c>
      <c r="D782" t="s">
        <v>2885</v>
      </c>
      <c r="E782">
        <v>2</v>
      </c>
      <c r="F782" t="s">
        <v>2862</v>
      </c>
      <c r="G782" t="s">
        <v>2362</v>
      </c>
      <c r="H782" t="s">
        <v>2884</v>
      </c>
      <c r="I782" t="s">
        <v>2886</v>
      </c>
    </row>
    <row r="783" spans="1:9">
      <c r="A783" t="str">
        <f>"0016997 "</f>
        <v xml:space="preserve">0016997 </v>
      </c>
      <c r="B783" t="s">
        <v>2358</v>
      </c>
      <c r="C783" t="s">
        <v>2887</v>
      </c>
      <c r="D783" t="s">
        <v>2888</v>
      </c>
      <c r="E783">
        <v>1</v>
      </c>
      <c r="F783" t="s">
        <v>2889</v>
      </c>
      <c r="G783" t="s">
        <v>2362</v>
      </c>
      <c r="H783" t="s">
        <v>2887</v>
      </c>
      <c r="I783" t="s">
        <v>2890</v>
      </c>
    </row>
    <row r="784" spans="1:9">
      <c r="A784" t="str">
        <f>"0016998 "</f>
        <v xml:space="preserve">0016998 </v>
      </c>
      <c r="B784" t="s">
        <v>2358</v>
      </c>
      <c r="C784" t="s">
        <v>2891</v>
      </c>
      <c r="D784" t="s">
        <v>2892</v>
      </c>
      <c r="E784">
        <v>1</v>
      </c>
      <c r="F784" t="s">
        <v>2893</v>
      </c>
      <c r="G784" t="s">
        <v>2362</v>
      </c>
      <c r="H784" t="s">
        <v>2891</v>
      </c>
      <c r="I784" t="s">
        <v>2894</v>
      </c>
    </row>
    <row r="785" spans="1:9">
      <c r="A785" t="str">
        <f>"0017009 "</f>
        <v xml:space="preserve">0017009 </v>
      </c>
      <c r="B785" t="s">
        <v>2358</v>
      </c>
      <c r="C785" t="s">
        <v>2895</v>
      </c>
      <c r="D785" t="s">
        <v>2896</v>
      </c>
      <c r="E785">
        <v>2</v>
      </c>
      <c r="F785" t="s">
        <v>2897</v>
      </c>
      <c r="G785" t="s">
        <v>2362</v>
      </c>
      <c r="H785" t="s">
        <v>2895</v>
      </c>
      <c r="I785" t="s">
        <v>2898</v>
      </c>
    </row>
    <row r="786" spans="1:9">
      <c r="A786" t="str">
        <f>"0017039 "</f>
        <v xml:space="preserve">0017039 </v>
      </c>
      <c r="B786" t="s">
        <v>2358</v>
      </c>
      <c r="C786" t="s">
        <v>2899</v>
      </c>
      <c r="D786" t="s">
        <v>2900</v>
      </c>
      <c r="E786">
        <v>2</v>
      </c>
      <c r="F786" t="s">
        <v>2901</v>
      </c>
      <c r="G786" t="s">
        <v>2362</v>
      </c>
      <c r="H786" t="s">
        <v>2899</v>
      </c>
      <c r="I786" t="s">
        <v>2902</v>
      </c>
    </row>
    <row r="787" spans="1:9">
      <c r="A787" t="str">
        <f>"0017043 "</f>
        <v xml:space="preserve">0017043 </v>
      </c>
      <c r="B787" t="s">
        <v>2358</v>
      </c>
      <c r="C787" t="s">
        <v>2903</v>
      </c>
      <c r="D787" t="s">
        <v>2904</v>
      </c>
      <c r="E787">
        <v>1</v>
      </c>
      <c r="F787" t="s">
        <v>2905</v>
      </c>
      <c r="G787" t="s">
        <v>2362</v>
      </c>
      <c r="H787" t="s">
        <v>2903</v>
      </c>
      <c r="I787" t="s">
        <v>2906</v>
      </c>
    </row>
    <row r="788" spans="1:9">
      <c r="A788" t="str">
        <f>"0018693 "</f>
        <v xml:space="preserve">0018693 </v>
      </c>
      <c r="B788" t="s">
        <v>2358</v>
      </c>
      <c r="C788" t="s">
        <v>2907</v>
      </c>
      <c r="D788" t="s">
        <v>2908</v>
      </c>
      <c r="E788">
        <v>1</v>
      </c>
      <c r="F788" t="s">
        <v>2909</v>
      </c>
      <c r="G788" t="s">
        <v>2362</v>
      </c>
      <c r="H788" t="s">
        <v>2907</v>
      </c>
      <c r="I788" t="s">
        <v>2910</v>
      </c>
    </row>
    <row r="789" spans="1:9">
      <c r="A789" t="str">
        <f>"0017045 "</f>
        <v xml:space="preserve">0017045 </v>
      </c>
      <c r="B789" t="s">
        <v>2358</v>
      </c>
      <c r="C789" t="s">
        <v>2911</v>
      </c>
      <c r="D789" t="s">
        <v>2912</v>
      </c>
      <c r="E789">
        <v>1</v>
      </c>
      <c r="F789" t="s">
        <v>2913</v>
      </c>
      <c r="G789" t="s">
        <v>2362</v>
      </c>
      <c r="H789" t="s">
        <v>2911</v>
      </c>
      <c r="I789" t="s">
        <v>2914</v>
      </c>
    </row>
    <row r="790" spans="1:9">
      <c r="A790" t="str">
        <f>"0018699 "</f>
        <v xml:space="preserve">0018699 </v>
      </c>
      <c r="B790" t="s">
        <v>2358</v>
      </c>
      <c r="C790" t="s">
        <v>2915</v>
      </c>
      <c r="D790" t="s">
        <v>2916</v>
      </c>
      <c r="E790">
        <v>1</v>
      </c>
      <c r="F790" t="s">
        <v>2917</v>
      </c>
      <c r="G790" t="s">
        <v>2362</v>
      </c>
      <c r="H790" t="s">
        <v>2915</v>
      </c>
      <c r="I790" t="s">
        <v>2918</v>
      </c>
    </row>
    <row r="791" spans="1:9">
      <c r="A791" t="str">
        <f>"0018980 "</f>
        <v xml:space="preserve">0018980 </v>
      </c>
      <c r="B791" t="s">
        <v>2358</v>
      </c>
      <c r="C791" t="s">
        <v>2919</v>
      </c>
      <c r="D791" t="s">
        <v>2920</v>
      </c>
      <c r="E791">
        <v>1</v>
      </c>
      <c r="F791" t="s">
        <v>2921</v>
      </c>
      <c r="G791" t="s">
        <v>2362</v>
      </c>
      <c r="H791" t="s">
        <v>2919</v>
      </c>
      <c r="I791" t="s">
        <v>2922</v>
      </c>
    </row>
    <row r="792" spans="1:9">
      <c r="A792" t="str">
        <f>"0018714 "</f>
        <v xml:space="preserve">0018714 </v>
      </c>
      <c r="B792" t="s">
        <v>2358</v>
      </c>
      <c r="C792" t="s">
        <v>2923</v>
      </c>
      <c r="D792" t="s">
        <v>2924</v>
      </c>
      <c r="E792">
        <v>1</v>
      </c>
      <c r="F792" t="s">
        <v>2925</v>
      </c>
      <c r="G792" t="s">
        <v>2362</v>
      </c>
      <c r="H792" t="s">
        <v>2923</v>
      </c>
      <c r="I792" t="s">
        <v>2926</v>
      </c>
    </row>
    <row r="793" spans="1:9">
      <c r="A793" t="str">
        <f>"0020144 "</f>
        <v xml:space="preserve">0020144 </v>
      </c>
      <c r="B793" t="s">
        <v>2358</v>
      </c>
      <c r="C793" t="s">
        <v>2927</v>
      </c>
      <c r="D793" t="s">
        <v>2928</v>
      </c>
      <c r="E793">
        <v>1</v>
      </c>
      <c r="F793" t="s">
        <v>2929</v>
      </c>
      <c r="G793" t="s">
        <v>2362</v>
      </c>
      <c r="H793" t="s">
        <v>2927</v>
      </c>
      <c r="I793" t="s">
        <v>2930</v>
      </c>
    </row>
    <row r="794" spans="1:9">
      <c r="A794" t="str">
        <f>"0018981 "</f>
        <v xml:space="preserve">0018981 </v>
      </c>
      <c r="B794" t="s">
        <v>2358</v>
      </c>
      <c r="C794" t="s">
        <v>2931</v>
      </c>
      <c r="D794" t="s">
        <v>2932</v>
      </c>
      <c r="E794">
        <v>1</v>
      </c>
      <c r="F794" t="s">
        <v>2933</v>
      </c>
      <c r="G794" t="s">
        <v>2362</v>
      </c>
      <c r="H794" t="s">
        <v>2931</v>
      </c>
      <c r="I794" t="s">
        <v>2934</v>
      </c>
    </row>
    <row r="795" spans="1:9">
      <c r="A795" t="str">
        <f>"0039010 "</f>
        <v xml:space="preserve">0039010 </v>
      </c>
      <c r="B795" t="s">
        <v>2358</v>
      </c>
      <c r="C795" t="s">
        <v>2935</v>
      </c>
      <c r="D795" t="s">
        <v>2936</v>
      </c>
      <c r="E795">
        <v>1</v>
      </c>
      <c r="F795" t="s">
        <v>2701</v>
      </c>
      <c r="G795" t="s">
        <v>2362</v>
      </c>
      <c r="H795" t="s">
        <v>2935</v>
      </c>
      <c r="I795" t="s">
        <v>2937</v>
      </c>
    </row>
    <row r="796" spans="1:9">
      <c r="A796" t="str">
        <f>"0033759 "</f>
        <v xml:space="preserve">0033759 </v>
      </c>
      <c r="B796" t="s">
        <v>2358</v>
      </c>
      <c r="C796" t="s">
        <v>2938</v>
      </c>
      <c r="D796" t="s">
        <v>2939</v>
      </c>
      <c r="E796">
        <v>1</v>
      </c>
      <c r="F796" t="s">
        <v>1480</v>
      </c>
      <c r="G796" t="s">
        <v>2362</v>
      </c>
      <c r="H796" t="s">
        <v>2938</v>
      </c>
      <c r="I796" t="s">
        <v>2940</v>
      </c>
    </row>
    <row r="797" spans="1:9">
      <c r="A797" t="str">
        <f>"0038114 "</f>
        <v xml:space="preserve">0038114 </v>
      </c>
      <c r="B797" t="s">
        <v>2358</v>
      </c>
      <c r="C797" t="s">
        <v>2941</v>
      </c>
      <c r="D797" t="s">
        <v>2942</v>
      </c>
      <c r="E797">
        <v>1</v>
      </c>
      <c r="F797" t="s">
        <v>2874</v>
      </c>
      <c r="G797" t="s">
        <v>2362</v>
      </c>
      <c r="H797" t="s">
        <v>2941</v>
      </c>
      <c r="I797" t="s">
        <v>523</v>
      </c>
    </row>
    <row r="798" spans="1:9">
      <c r="A798" t="str">
        <f>"0033761 "</f>
        <v xml:space="preserve">0033761 </v>
      </c>
      <c r="B798" t="s">
        <v>2358</v>
      </c>
      <c r="C798" t="s">
        <v>2943</v>
      </c>
      <c r="D798" t="s">
        <v>2944</v>
      </c>
      <c r="E798">
        <v>1</v>
      </c>
      <c r="F798" t="s">
        <v>2929</v>
      </c>
      <c r="G798" t="s">
        <v>2362</v>
      </c>
      <c r="H798" t="s">
        <v>2943</v>
      </c>
      <c r="I798" t="s">
        <v>2945</v>
      </c>
    </row>
    <row r="799" spans="1:9">
      <c r="A799" t="str">
        <f>"0038126 "</f>
        <v xml:space="preserve">0038126 </v>
      </c>
      <c r="B799" t="s">
        <v>2358</v>
      </c>
      <c r="C799" t="s">
        <v>2946</v>
      </c>
      <c r="D799" t="s">
        <v>2947</v>
      </c>
      <c r="E799">
        <v>2</v>
      </c>
      <c r="F799" t="s">
        <v>2948</v>
      </c>
      <c r="G799" t="s">
        <v>2362</v>
      </c>
      <c r="H799" t="s">
        <v>2946</v>
      </c>
      <c r="I799" t="s">
        <v>2949</v>
      </c>
    </row>
    <row r="800" spans="1:9">
      <c r="A800" t="str">
        <f>"0017085 "</f>
        <v xml:space="preserve">0017085 </v>
      </c>
      <c r="B800" t="s">
        <v>2358</v>
      </c>
      <c r="C800" t="s">
        <v>2950</v>
      </c>
      <c r="D800" t="s">
        <v>2951</v>
      </c>
      <c r="E800">
        <v>2</v>
      </c>
      <c r="F800" t="s">
        <v>2952</v>
      </c>
      <c r="G800" t="s">
        <v>2362</v>
      </c>
      <c r="H800" t="s">
        <v>2950</v>
      </c>
      <c r="I800" t="s">
        <v>2953</v>
      </c>
    </row>
    <row r="801" spans="1:9">
      <c r="A801" t="str">
        <f>"0017111 "</f>
        <v xml:space="preserve">0017111 </v>
      </c>
      <c r="B801" t="s">
        <v>2358</v>
      </c>
      <c r="C801" t="s">
        <v>2954</v>
      </c>
      <c r="D801" t="s">
        <v>2955</v>
      </c>
      <c r="E801">
        <v>1</v>
      </c>
      <c r="F801" t="s">
        <v>2956</v>
      </c>
      <c r="G801" t="s">
        <v>2362</v>
      </c>
      <c r="H801" t="s">
        <v>2954</v>
      </c>
      <c r="I801" t="s">
        <v>2957</v>
      </c>
    </row>
    <row r="802" spans="1:9">
      <c r="A802" t="str">
        <f>"0017214 "</f>
        <v xml:space="preserve">0017214 </v>
      </c>
      <c r="B802" t="s">
        <v>2358</v>
      </c>
      <c r="C802" t="s">
        <v>2958</v>
      </c>
      <c r="D802" t="s">
        <v>2959</v>
      </c>
      <c r="E802">
        <v>1</v>
      </c>
      <c r="F802" t="s">
        <v>2960</v>
      </c>
      <c r="G802" t="s">
        <v>2362</v>
      </c>
      <c r="H802" t="s">
        <v>2958</v>
      </c>
      <c r="I802" t="s">
        <v>2961</v>
      </c>
    </row>
    <row r="803" spans="1:9">
      <c r="A803" t="str">
        <f>"0017221 "</f>
        <v xml:space="preserve">0017221 </v>
      </c>
      <c r="B803" t="s">
        <v>2358</v>
      </c>
      <c r="C803" t="s">
        <v>2962</v>
      </c>
      <c r="D803" t="s">
        <v>2963</v>
      </c>
      <c r="E803" t="s">
        <v>20</v>
      </c>
      <c r="F803" t="s">
        <v>2964</v>
      </c>
      <c r="G803" t="s">
        <v>2362</v>
      </c>
      <c r="H803" t="s">
        <v>2962</v>
      </c>
      <c r="I803" t="s">
        <v>2965</v>
      </c>
    </row>
    <row r="804" spans="1:9">
      <c r="A804" t="str">
        <f>"0017274 "</f>
        <v xml:space="preserve">0017274 </v>
      </c>
      <c r="B804" t="s">
        <v>2358</v>
      </c>
      <c r="C804" t="s">
        <v>2966</v>
      </c>
      <c r="D804" t="s">
        <v>2967</v>
      </c>
      <c r="E804">
        <v>1</v>
      </c>
      <c r="F804" t="s">
        <v>2666</v>
      </c>
      <c r="G804" t="s">
        <v>2362</v>
      </c>
      <c r="H804" t="s">
        <v>2966</v>
      </c>
      <c r="I804" t="s">
        <v>2968</v>
      </c>
    </row>
    <row r="805" spans="1:9">
      <c r="A805" t="str">
        <f>"0017320 "</f>
        <v xml:space="preserve">0017320 </v>
      </c>
      <c r="B805" t="s">
        <v>2358</v>
      </c>
      <c r="C805" t="s">
        <v>2969</v>
      </c>
      <c r="D805" t="s">
        <v>2970</v>
      </c>
      <c r="E805">
        <v>3</v>
      </c>
      <c r="F805" t="s">
        <v>2971</v>
      </c>
      <c r="G805" t="s">
        <v>2362</v>
      </c>
      <c r="H805" t="s">
        <v>2969</v>
      </c>
      <c r="I805" t="s">
        <v>2972</v>
      </c>
    </row>
    <row r="806" spans="1:9">
      <c r="A806" t="str">
        <f>"0017377 "</f>
        <v xml:space="preserve">0017377 </v>
      </c>
      <c r="B806" t="s">
        <v>2358</v>
      </c>
      <c r="C806" t="s">
        <v>2973</v>
      </c>
      <c r="D806" t="s">
        <v>2974</v>
      </c>
      <c r="E806" t="s">
        <v>20</v>
      </c>
      <c r="F806" t="s">
        <v>2878</v>
      </c>
      <c r="G806" t="s">
        <v>2362</v>
      </c>
      <c r="H806" t="s">
        <v>2973</v>
      </c>
      <c r="I806" t="s">
        <v>2975</v>
      </c>
    </row>
    <row r="807" spans="1:9">
      <c r="A807" t="str">
        <f>"0017460 "</f>
        <v xml:space="preserve">0017460 </v>
      </c>
      <c r="B807" t="s">
        <v>2358</v>
      </c>
      <c r="C807" t="s">
        <v>2976</v>
      </c>
      <c r="D807" t="s">
        <v>2977</v>
      </c>
      <c r="E807">
        <v>1</v>
      </c>
      <c r="F807" t="s">
        <v>2666</v>
      </c>
      <c r="G807" t="s">
        <v>2362</v>
      </c>
      <c r="H807" t="s">
        <v>2976</v>
      </c>
      <c r="I807" t="s">
        <v>2978</v>
      </c>
    </row>
    <row r="808" spans="1:9">
      <c r="A808" t="str">
        <f>"0017470 "</f>
        <v xml:space="preserve">0017470 </v>
      </c>
      <c r="B808" t="s">
        <v>2358</v>
      </c>
      <c r="C808" t="s">
        <v>2979</v>
      </c>
      <c r="D808" t="s">
        <v>2980</v>
      </c>
      <c r="E808">
        <v>5</v>
      </c>
      <c r="F808" t="s">
        <v>2981</v>
      </c>
      <c r="G808" t="s">
        <v>2362</v>
      </c>
      <c r="H808" t="s">
        <v>2979</v>
      </c>
      <c r="I808" t="s">
        <v>418</v>
      </c>
    </row>
    <row r="809" spans="1:9">
      <c r="A809" t="str">
        <f>"0017476 "</f>
        <v xml:space="preserve">0017476 </v>
      </c>
      <c r="B809" t="s">
        <v>2358</v>
      </c>
      <c r="C809" t="s">
        <v>2982</v>
      </c>
      <c r="D809" t="s">
        <v>2983</v>
      </c>
      <c r="E809">
        <v>2</v>
      </c>
      <c r="F809" t="s">
        <v>2984</v>
      </c>
      <c r="G809" t="s">
        <v>2362</v>
      </c>
      <c r="H809" t="s">
        <v>2982</v>
      </c>
      <c r="I809" t="s">
        <v>2985</v>
      </c>
    </row>
    <row r="810" spans="1:9">
      <c r="A810" t="str">
        <f>"0017483 "</f>
        <v xml:space="preserve">0017483 </v>
      </c>
      <c r="B810" t="s">
        <v>2358</v>
      </c>
      <c r="C810" t="s">
        <v>2986</v>
      </c>
      <c r="D810" t="s">
        <v>2987</v>
      </c>
      <c r="E810">
        <v>2</v>
      </c>
      <c r="F810" t="s">
        <v>2988</v>
      </c>
      <c r="G810" t="s">
        <v>2362</v>
      </c>
      <c r="H810" t="s">
        <v>2986</v>
      </c>
      <c r="I810" t="s">
        <v>2989</v>
      </c>
    </row>
    <row r="811" spans="1:9">
      <c r="A811" t="str">
        <f>"0017516 "</f>
        <v xml:space="preserve">0017516 </v>
      </c>
      <c r="B811" t="s">
        <v>2358</v>
      </c>
      <c r="C811" t="s">
        <v>2990</v>
      </c>
      <c r="D811" t="s">
        <v>2991</v>
      </c>
      <c r="E811">
        <v>1</v>
      </c>
      <c r="F811" t="s">
        <v>2992</v>
      </c>
      <c r="G811" t="s">
        <v>2362</v>
      </c>
      <c r="H811" t="s">
        <v>2990</v>
      </c>
      <c r="I811" t="s">
        <v>2993</v>
      </c>
    </row>
    <row r="812" spans="1:9">
      <c r="A812" t="str">
        <f>"0017552 "</f>
        <v xml:space="preserve">0017552 </v>
      </c>
      <c r="B812" t="s">
        <v>2358</v>
      </c>
      <c r="C812" t="s">
        <v>2994</v>
      </c>
      <c r="D812" t="s">
        <v>2995</v>
      </c>
      <c r="E812">
        <v>1</v>
      </c>
      <c r="F812" t="s">
        <v>2996</v>
      </c>
      <c r="G812" t="s">
        <v>2362</v>
      </c>
      <c r="H812" t="s">
        <v>2994</v>
      </c>
      <c r="I812" t="s">
        <v>2997</v>
      </c>
    </row>
    <row r="813" spans="1:9">
      <c r="A813" t="str">
        <f>"0017615 "</f>
        <v xml:space="preserve">0017615 </v>
      </c>
      <c r="B813" t="s">
        <v>2358</v>
      </c>
      <c r="C813" t="s">
        <v>2998</v>
      </c>
      <c r="D813" t="s">
        <v>2999</v>
      </c>
      <c r="E813">
        <v>2</v>
      </c>
      <c r="F813" t="s">
        <v>3000</v>
      </c>
      <c r="G813" t="s">
        <v>2362</v>
      </c>
      <c r="H813" t="s">
        <v>2998</v>
      </c>
      <c r="I813" t="s">
        <v>3001</v>
      </c>
    </row>
    <row r="814" spans="1:9">
      <c r="A814" t="str">
        <f>"0017616 "</f>
        <v xml:space="preserve">0017616 </v>
      </c>
      <c r="B814" t="s">
        <v>2358</v>
      </c>
      <c r="C814" t="s">
        <v>3002</v>
      </c>
      <c r="D814" t="s">
        <v>3003</v>
      </c>
      <c r="E814">
        <v>1</v>
      </c>
      <c r="F814" t="s">
        <v>3004</v>
      </c>
      <c r="G814" t="s">
        <v>2362</v>
      </c>
      <c r="H814" t="s">
        <v>3002</v>
      </c>
      <c r="I814" t="s">
        <v>3005</v>
      </c>
    </row>
    <row r="815" spans="1:9">
      <c r="A815" t="str">
        <f>"0017703 "</f>
        <v xml:space="preserve">0017703 </v>
      </c>
      <c r="B815" t="s">
        <v>2358</v>
      </c>
      <c r="C815" t="s">
        <v>3006</v>
      </c>
      <c r="D815" t="s">
        <v>3007</v>
      </c>
      <c r="E815" t="s">
        <v>20</v>
      </c>
      <c r="F815" t="s">
        <v>3008</v>
      </c>
      <c r="G815" t="s">
        <v>2362</v>
      </c>
      <c r="H815" t="s">
        <v>3006</v>
      </c>
      <c r="I815" t="s">
        <v>3009</v>
      </c>
    </row>
    <row r="816" spans="1:9">
      <c r="A816" t="str">
        <f>"0086539 "</f>
        <v xml:space="preserve">0086539 </v>
      </c>
      <c r="B816" t="s">
        <v>2358</v>
      </c>
      <c r="C816" t="s">
        <v>3010</v>
      </c>
      <c r="D816" t="s">
        <v>3011</v>
      </c>
      <c r="E816" t="s">
        <v>20</v>
      </c>
      <c r="F816" t="s">
        <v>3012</v>
      </c>
      <c r="G816" t="s">
        <v>2362</v>
      </c>
      <c r="H816" t="s">
        <v>3010</v>
      </c>
      <c r="I816" t="s">
        <v>3013</v>
      </c>
    </row>
    <row r="817" spans="1:9">
      <c r="A817" t="str">
        <f>"0090644 "</f>
        <v xml:space="preserve">0090644 </v>
      </c>
      <c r="B817" t="s">
        <v>2358</v>
      </c>
      <c r="C817" t="s">
        <v>3014</v>
      </c>
      <c r="D817" t="s">
        <v>3015</v>
      </c>
      <c r="E817">
        <v>2</v>
      </c>
      <c r="F817" t="s">
        <v>3016</v>
      </c>
      <c r="G817" t="s">
        <v>2362</v>
      </c>
      <c r="H817" t="s">
        <v>3014</v>
      </c>
      <c r="I817" t="s">
        <v>3017</v>
      </c>
    </row>
    <row r="818" spans="1:9">
      <c r="A818" t="str">
        <f>"0017706 "</f>
        <v xml:space="preserve">0017706 </v>
      </c>
      <c r="B818" t="s">
        <v>2358</v>
      </c>
      <c r="C818" t="s">
        <v>3018</v>
      </c>
      <c r="D818" t="s">
        <v>3019</v>
      </c>
      <c r="E818">
        <v>1</v>
      </c>
      <c r="F818" t="s">
        <v>3020</v>
      </c>
      <c r="G818" t="s">
        <v>2362</v>
      </c>
      <c r="H818" t="s">
        <v>3018</v>
      </c>
      <c r="I818" t="s">
        <v>3021</v>
      </c>
    </row>
    <row r="819" spans="1:9">
      <c r="A819" t="str">
        <f>"0017708 "</f>
        <v xml:space="preserve">0017708 </v>
      </c>
      <c r="B819" t="s">
        <v>2358</v>
      </c>
      <c r="C819" t="s">
        <v>3022</v>
      </c>
      <c r="D819" t="s">
        <v>3023</v>
      </c>
      <c r="E819">
        <v>1</v>
      </c>
      <c r="F819" t="s">
        <v>3024</v>
      </c>
      <c r="G819" t="s">
        <v>2362</v>
      </c>
      <c r="H819" t="s">
        <v>3022</v>
      </c>
      <c r="I819" t="s">
        <v>3025</v>
      </c>
    </row>
    <row r="820" spans="1:9">
      <c r="A820" t="str">
        <f>"0017709 "</f>
        <v xml:space="preserve">0017709 </v>
      </c>
      <c r="B820" t="s">
        <v>2358</v>
      </c>
      <c r="C820" t="s">
        <v>3026</v>
      </c>
      <c r="D820" t="s">
        <v>3027</v>
      </c>
      <c r="E820">
        <v>1</v>
      </c>
      <c r="F820" t="s">
        <v>3028</v>
      </c>
      <c r="G820" t="s">
        <v>2362</v>
      </c>
      <c r="H820" t="s">
        <v>3026</v>
      </c>
      <c r="I820" t="s">
        <v>3025</v>
      </c>
    </row>
    <row r="821" spans="1:9">
      <c r="A821" t="str">
        <f>"0017715 "</f>
        <v xml:space="preserve">0017715 </v>
      </c>
      <c r="B821" t="s">
        <v>2358</v>
      </c>
      <c r="C821" t="s">
        <v>3029</v>
      </c>
      <c r="D821" t="s">
        <v>3030</v>
      </c>
      <c r="E821">
        <v>4</v>
      </c>
      <c r="F821" t="s">
        <v>1425</v>
      </c>
      <c r="G821" t="s">
        <v>2362</v>
      </c>
      <c r="H821" t="s">
        <v>3029</v>
      </c>
      <c r="I821" t="s">
        <v>3031</v>
      </c>
    </row>
    <row r="822" spans="1:9">
      <c r="A822" t="str">
        <f>"0017736 "</f>
        <v xml:space="preserve">0017736 </v>
      </c>
      <c r="B822" t="s">
        <v>2358</v>
      </c>
      <c r="C822" t="s">
        <v>3032</v>
      </c>
      <c r="D822" t="s">
        <v>3033</v>
      </c>
      <c r="E822" t="s">
        <v>20</v>
      </c>
      <c r="F822" t="s">
        <v>3034</v>
      </c>
      <c r="G822" t="s">
        <v>2362</v>
      </c>
      <c r="H822" t="s">
        <v>3032</v>
      </c>
      <c r="I822" t="s">
        <v>3035</v>
      </c>
    </row>
    <row r="823" spans="1:9">
      <c r="A823" t="str">
        <f>"0017737 "</f>
        <v xml:space="preserve">0017737 </v>
      </c>
      <c r="B823" t="s">
        <v>2358</v>
      </c>
      <c r="C823" t="s">
        <v>3036</v>
      </c>
      <c r="D823" t="s">
        <v>3037</v>
      </c>
      <c r="E823" t="s">
        <v>20</v>
      </c>
      <c r="F823" t="s">
        <v>3038</v>
      </c>
      <c r="G823" t="s">
        <v>2362</v>
      </c>
      <c r="H823" t="s">
        <v>3036</v>
      </c>
      <c r="I823" t="s">
        <v>3039</v>
      </c>
    </row>
    <row r="824" spans="1:9">
      <c r="A824" t="str">
        <f>"0017743 "</f>
        <v xml:space="preserve">0017743 </v>
      </c>
      <c r="B824" t="s">
        <v>2358</v>
      </c>
      <c r="C824" t="s">
        <v>3040</v>
      </c>
      <c r="D824" t="s">
        <v>3041</v>
      </c>
      <c r="E824">
        <v>1</v>
      </c>
      <c r="F824" t="s">
        <v>3042</v>
      </c>
      <c r="G824" t="s">
        <v>2362</v>
      </c>
      <c r="H824" t="s">
        <v>3040</v>
      </c>
      <c r="I824" t="s">
        <v>3043</v>
      </c>
    </row>
    <row r="825" spans="1:9">
      <c r="A825" t="str">
        <f>"0017749 "</f>
        <v xml:space="preserve">0017749 </v>
      </c>
      <c r="B825" t="s">
        <v>2358</v>
      </c>
      <c r="C825" t="s">
        <v>3044</v>
      </c>
      <c r="D825" t="s">
        <v>3045</v>
      </c>
      <c r="E825">
        <v>1</v>
      </c>
      <c r="F825" t="s">
        <v>3046</v>
      </c>
      <c r="G825" t="s">
        <v>2362</v>
      </c>
      <c r="H825" t="s">
        <v>3044</v>
      </c>
      <c r="I825" t="s">
        <v>3047</v>
      </c>
    </row>
    <row r="826" spans="1:9">
      <c r="A826" t="str">
        <f>"0017750 "</f>
        <v xml:space="preserve">0017750 </v>
      </c>
      <c r="B826" t="s">
        <v>2358</v>
      </c>
      <c r="C826" t="s">
        <v>3048</v>
      </c>
      <c r="D826" t="s">
        <v>3049</v>
      </c>
      <c r="E826" t="s">
        <v>20</v>
      </c>
      <c r="F826" t="s">
        <v>3050</v>
      </c>
      <c r="G826" t="s">
        <v>2362</v>
      </c>
      <c r="H826" t="s">
        <v>3048</v>
      </c>
      <c r="I826" t="s">
        <v>3051</v>
      </c>
    </row>
    <row r="827" spans="1:9">
      <c r="A827" t="str">
        <f>"0017755 "</f>
        <v xml:space="preserve">0017755 </v>
      </c>
      <c r="B827" t="s">
        <v>2358</v>
      </c>
      <c r="C827" t="s">
        <v>3052</v>
      </c>
      <c r="D827" t="s">
        <v>3053</v>
      </c>
      <c r="E827" t="s">
        <v>20</v>
      </c>
      <c r="F827" t="s">
        <v>3054</v>
      </c>
      <c r="G827" t="s">
        <v>2362</v>
      </c>
      <c r="H827" t="s">
        <v>3052</v>
      </c>
      <c r="I827" t="s">
        <v>3055</v>
      </c>
    </row>
    <row r="828" spans="1:9">
      <c r="A828" t="str">
        <f>"0017757 "</f>
        <v xml:space="preserve">0017757 </v>
      </c>
      <c r="B828" t="s">
        <v>2358</v>
      </c>
      <c r="C828" t="s">
        <v>3056</v>
      </c>
      <c r="D828" t="s">
        <v>3057</v>
      </c>
      <c r="E828">
        <v>1</v>
      </c>
      <c r="F828" t="s">
        <v>3058</v>
      </c>
      <c r="G828" t="s">
        <v>2362</v>
      </c>
      <c r="H828" t="s">
        <v>3056</v>
      </c>
      <c r="I828" t="s">
        <v>3059</v>
      </c>
    </row>
    <row r="829" spans="1:9">
      <c r="A829" t="str">
        <f>"0017762 "</f>
        <v xml:space="preserve">0017762 </v>
      </c>
      <c r="B829" t="s">
        <v>2358</v>
      </c>
      <c r="C829" t="s">
        <v>3060</v>
      </c>
      <c r="D829" t="s">
        <v>3061</v>
      </c>
      <c r="E829" t="s">
        <v>20</v>
      </c>
      <c r="F829" t="s">
        <v>3062</v>
      </c>
      <c r="G829" t="s">
        <v>2362</v>
      </c>
      <c r="H829" t="s">
        <v>3060</v>
      </c>
      <c r="I829" t="s">
        <v>3063</v>
      </c>
    </row>
    <row r="830" spans="1:9">
      <c r="A830" t="str">
        <f>"0017764 "</f>
        <v xml:space="preserve">0017764 </v>
      </c>
      <c r="B830" t="s">
        <v>2358</v>
      </c>
      <c r="C830" t="s">
        <v>3064</v>
      </c>
      <c r="D830" t="s">
        <v>3065</v>
      </c>
      <c r="E830" t="s">
        <v>20</v>
      </c>
      <c r="F830" t="s">
        <v>3066</v>
      </c>
      <c r="G830" t="s">
        <v>2362</v>
      </c>
      <c r="H830" t="s">
        <v>3064</v>
      </c>
      <c r="I830" t="s">
        <v>3067</v>
      </c>
    </row>
    <row r="831" spans="1:9">
      <c r="A831" t="str">
        <f>"0017767 "</f>
        <v xml:space="preserve">0017767 </v>
      </c>
      <c r="B831" t="s">
        <v>2358</v>
      </c>
      <c r="C831" t="s">
        <v>3068</v>
      </c>
      <c r="D831" t="s">
        <v>3069</v>
      </c>
      <c r="E831">
        <v>2</v>
      </c>
      <c r="F831" t="s">
        <v>3070</v>
      </c>
      <c r="G831" t="s">
        <v>2362</v>
      </c>
      <c r="H831" t="s">
        <v>3068</v>
      </c>
      <c r="I831" t="s">
        <v>3071</v>
      </c>
    </row>
    <row r="832" spans="1:9">
      <c r="A832" t="str">
        <f>"0017777 "</f>
        <v xml:space="preserve">0017777 </v>
      </c>
      <c r="B832" t="s">
        <v>2358</v>
      </c>
      <c r="C832" t="s">
        <v>3072</v>
      </c>
      <c r="D832" t="s">
        <v>3073</v>
      </c>
      <c r="E832">
        <v>1</v>
      </c>
      <c r="F832" t="s">
        <v>1439</v>
      </c>
      <c r="G832" t="s">
        <v>2362</v>
      </c>
      <c r="H832" t="s">
        <v>3072</v>
      </c>
      <c r="I832" t="s">
        <v>3074</v>
      </c>
    </row>
    <row r="833" spans="1:9">
      <c r="A833" t="str">
        <f>"0017778 "</f>
        <v xml:space="preserve">0017778 </v>
      </c>
      <c r="B833" t="s">
        <v>2358</v>
      </c>
      <c r="C833" t="s">
        <v>3075</v>
      </c>
      <c r="D833" t="s">
        <v>3076</v>
      </c>
      <c r="E833">
        <v>1</v>
      </c>
      <c r="F833" t="s">
        <v>3077</v>
      </c>
      <c r="G833" t="s">
        <v>2362</v>
      </c>
      <c r="H833" t="s">
        <v>3075</v>
      </c>
      <c r="I833" t="s">
        <v>3078</v>
      </c>
    </row>
    <row r="834" spans="1:9">
      <c r="A834" t="str">
        <f>"0017788 "</f>
        <v xml:space="preserve">0017788 </v>
      </c>
      <c r="B834" t="s">
        <v>2358</v>
      </c>
      <c r="C834" t="s">
        <v>3079</v>
      </c>
      <c r="D834" t="s">
        <v>3080</v>
      </c>
      <c r="E834" t="s">
        <v>20</v>
      </c>
      <c r="F834" t="s">
        <v>3081</v>
      </c>
      <c r="G834" t="s">
        <v>2362</v>
      </c>
      <c r="H834" t="s">
        <v>3079</v>
      </c>
      <c r="I834" t="s">
        <v>3082</v>
      </c>
    </row>
    <row r="835" spans="1:9">
      <c r="A835" t="str">
        <f>"0017795 "</f>
        <v xml:space="preserve">0017795 </v>
      </c>
      <c r="B835" t="s">
        <v>2358</v>
      </c>
      <c r="C835" t="s">
        <v>3083</v>
      </c>
      <c r="D835" t="s">
        <v>3084</v>
      </c>
      <c r="E835">
        <v>1</v>
      </c>
      <c r="F835" t="s">
        <v>3085</v>
      </c>
      <c r="G835" t="s">
        <v>2362</v>
      </c>
      <c r="H835" t="s">
        <v>3083</v>
      </c>
      <c r="I835" t="s">
        <v>3086</v>
      </c>
    </row>
    <row r="836" spans="1:9">
      <c r="A836" t="str">
        <f>"0017796 "</f>
        <v xml:space="preserve">0017796 </v>
      </c>
      <c r="B836" t="s">
        <v>2358</v>
      </c>
      <c r="C836" t="s">
        <v>3087</v>
      </c>
      <c r="D836" t="s">
        <v>3088</v>
      </c>
      <c r="E836">
        <v>1</v>
      </c>
      <c r="F836" t="s">
        <v>3089</v>
      </c>
      <c r="G836" t="s">
        <v>2362</v>
      </c>
      <c r="H836" t="s">
        <v>3087</v>
      </c>
      <c r="I836" t="s">
        <v>3090</v>
      </c>
    </row>
    <row r="837" spans="1:9">
      <c r="A837" t="str">
        <f>"0017797 "</f>
        <v xml:space="preserve">0017797 </v>
      </c>
      <c r="B837" t="s">
        <v>2358</v>
      </c>
      <c r="C837" t="s">
        <v>3091</v>
      </c>
      <c r="D837" t="s">
        <v>3092</v>
      </c>
      <c r="E837">
        <v>3</v>
      </c>
      <c r="F837" t="s">
        <v>3093</v>
      </c>
      <c r="G837" t="s">
        <v>2362</v>
      </c>
      <c r="H837" t="s">
        <v>3091</v>
      </c>
      <c r="I837" t="s">
        <v>3094</v>
      </c>
    </row>
    <row r="838" spans="1:9">
      <c r="A838" t="str">
        <f>"0017813 "</f>
        <v xml:space="preserve">0017813 </v>
      </c>
      <c r="B838" t="s">
        <v>2358</v>
      </c>
      <c r="C838" t="s">
        <v>3095</v>
      </c>
      <c r="D838" t="s">
        <v>3096</v>
      </c>
      <c r="E838">
        <v>1</v>
      </c>
      <c r="F838" t="s">
        <v>3097</v>
      </c>
      <c r="G838" t="s">
        <v>2362</v>
      </c>
      <c r="H838" t="s">
        <v>3095</v>
      </c>
      <c r="I838" t="s">
        <v>3098</v>
      </c>
    </row>
    <row r="839" spans="1:9">
      <c r="A839" t="str">
        <f>"0017814 "</f>
        <v xml:space="preserve">0017814 </v>
      </c>
      <c r="B839" t="s">
        <v>2358</v>
      </c>
      <c r="C839" t="s">
        <v>3099</v>
      </c>
      <c r="D839" t="s">
        <v>3100</v>
      </c>
      <c r="E839" t="s">
        <v>20</v>
      </c>
      <c r="F839" t="s">
        <v>3101</v>
      </c>
      <c r="G839" t="s">
        <v>2362</v>
      </c>
      <c r="H839" t="s">
        <v>3099</v>
      </c>
      <c r="I839" t="s">
        <v>3102</v>
      </c>
    </row>
    <row r="840" spans="1:9">
      <c r="A840" t="str">
        <f>"0017816 "</f>
        <v xml:space="preserve">0017816 </v>
      </c>
      <c r="B840" t="s">
        <v>2358</v>
      </c>
      <c r="C840" t="s">
        <v>3103</v>
      </c>
      <c r="D840" t="s">
        <v>3104</v>
      </c>
      <c r="E840">
        <v>1</v>
      </c>
      <c r="F840" t="s">
        <v>3105</v>
      </c>
      <c r="G840" t="s">
        <v>2362</v>
      </c>
      <c r="H840" t="s">
        <v>3103</v>
      </c>
      <c r="I840" t="s">
        <v>3106</v>
      </c>
    </row>
    <row r="841" spans="1:9">
      <c r="A841" t="str">
        <f>"0017829 "</f>
        <v xml:space="preserve">0017829 </v>
      </c>
      <c r="B841" t="s">
        <v>2358</v>
      </c>
      <c r="C841" t="s">
        <v>3107</v>
      </c>
      <c r="D841" t="s">
        <v>3108</v>
      </c>
      <c r="E841">
        <v>1</v>
      </c>
      <c r="F841" t="s">
        <v>2842</v>
      </c>
      <c r="G841" t="s">
        <v>2362</v>
      </c>
      <c r="H841" t="s">
        <v>3107</v>
      </c>
      <c r="I841" t="s">
        <v>3109</v>
      </c>
    </row>
    <row r="842" spans="1:9">
      <c r="A842" t="str">
        <f>"0018165 "</f>
        <v xml:space="preserve">0018165 </v>
      </c>
      <c r="B842" t="s">
        <v>2358</v>
      </c>
      <c r="C842" t="s">
        <v>3110</v>
      </c>
      <c r="D842" t="s">
        <v>3111</v>
      </c>
      <c r="E842" t="s">
        <v>20</v>
      </c>
      <c r="F842" t="s">
        <v>3112</v>
      </c>
      <c r="G842" t="s">
        <v>2362</v>
      </c>
      <c r="H842" t="s">
        <v>3110</v>
      </c>
      <c r="I842" t="s">
        <v>3113</v>
      </c>
    </row>
    <row r="843" spans="1:9">
      <c r="A843" t="str">
        <f>"0018166 "</f>
        <v xml:space="preserve">0018166 </v>
      </c>
      <c r="B843" t="s">
        <v>2358</v>
      </c>
      <c r="C843" t="s">
        <v>3114</v>
      </c>
      <c r="D843" t="s">
        <v>3115</v>
      </c>
      <c r="E843" t="s">
        <v>20</v>
      </c>
      <c r="F843" t="s">
        <v>3116</v>
      </c>
      <c r="G843" t="s">
        <v>2362</v>
      </c>
      <c r="H843" t="s">
        <v>3114</v>
      </c>
      <c r="I843" t="s">
        <v>3117</v>
      </c>
    </row>
    <row r="844" spans="1:9">
      <c r="A844" t="str">
        <f>"0017846 "</f>
        <v xml:space="preserve">0017846 </v>
      </c>
      <c r="B844" t="s">
        <v>2358</v>
      </c>
      <c r="C844" t="s">
        <v>3118</v>
      </c>
      <c r="D844" t="s">
        <v>3119</v>
      </c>
      <c r="E844">
        <v>1</v>
      </c>
      <c r="F844" t="s">
        <v>3120</v>
      </c>
      <c r="G844" t="s">
        <v>2362</v>
      </c>
      <c r="H844" t="s">
        <v>3118</v>
      </c>
      <c r="I844" t="s">
        <v>3121</v>
      </c>
    </row>
    <row r="845" spans="1:9">
      <c r="A845" t="str">
        <f>"0020152 "</f>
        <v xml:space="preserve">0020152 </v>
      </c>
      <c r="B845" t="s">
        <v>2358</v>
      </c>
      <c r="C845" t="s">
        <v>3122</v>
      </c>
      <c r="D845" t="s">
        <v>3123</v>
      </c>
      <c r="E845" t="s">
        <v>20</v>
      </c>
      <c r="F845" t="s">
        <v>3124</v>
      </c>
      <c r="G845" t="s">
        <v>2362</v>
      </c>
      <c r="H845" t="s">
        <v>3122</v>
      </c>
      <c r="I845" t="s">
        <v>3125</v>
      </c>
    </row>
    <row r="846" spans="1:9">
      <c r="A846" t="str">
        <f>"0017858 "</f>
        <v xml:space="preserve">0017858 </v>
      </c>
      <c r="B846" t="s">
        <v>2358</v>
      </c>
      <c r="C846" t="s">
        <v>3126</v>
      </c>
      <c r="D846" t="s">
        <v>3127</v>
      </c>
      <c r="E846" t="s">
        <v>20</v>
      </c>
      <c r="F846" t="s">
        <v>3128</v>
      </c>
      <c r="G846" t="s">
        <v>2362</v>
      </c>
      <c r="H846" t="s">
        <v>3126</v>
      </c>
      <c r="I846" t="s">
        <v>3129</v>
      </c>
    </row>
    <row r="847" spans="1:9">
      <c r="A847" t="str">
        <f>"0017861 "</f>
        <v xml:space="preserve">0017861 </v>
      </c>
      <c r="B847" t="s">
        <v>2358</v>
      </c>
      <c r="C847" t="s">
        <v>3130</v>
      </c>
      <c r="D847" t="s">
        <v>3131</v>
      </c>
      <c r="E847">
        <v>2</v>
      </c>
      <c r="F847" t="s">
        <v>3132</v>
      </c>
      <c r="G847" t="s">
        <v>2362</v>
      </c>
      <c r="H847" t="s">
        <v>3130</v>
      </c>
      <c r="I847" t="s">
        <v>3133</v>
      </c>
    </row>
    <row r="848" spans="1:9">
      <c r="A848" t="str">
        <f>"0017866 "</f>
        <v xml:space="preserve">0017866 </v>
      </c>
      <c r="B848" t="s">
        <v>2358</v>
      </c>
      <c r="C848" t="s">
        <v>3134</v>
      </c>
      <c r="D848" t="s">
        <v>3135</v>
      </c>
      <c r="E848">
        <v>1</v>
      </c>
      <c r="F848" t="s">
        <v>1453</v>
      </c>
      <c r="G848" t="s">
        <v>2362</v>
      </c>
      <c r="H848" t="s">
        <v>3134</v>
      </c>
      <c r="I848" t="s">
        <v>3136</v>
      </c>
    </row>
    <row r="849" spans="1:9">
      <c r="A849" t="str">
        <f>"0017869 "</f>
        <v xml:space="preserve">0017869 </v>
      </c>
      <c r="B849" t="s">
        <v>2358</v>
      </c>
      <c r="C849" t="s">
        <v>3137</v>
      </c>
      <c r="D849" t="s">
        <v>3138</v>
      </c>
      <c r="E849" t="s">
        <v>20</v>
      </c>
      <c r="F849" t="s">
        <v>3139</v>
      </c>
      <c r="G849" t="s">
        <v>2362</v>
      </c>
      <c r="H849" t="s">
        <v>3137</v>
      </c>
      <c r="I849" t="s">
        <v>3140</v>
      </c>
    </row>
    <row r="850" spans="1:9">
      <c r="A850" t="str">
        <f>"0017870 "</f>
        <v xml:space="preserve">0017870 </v>
      </c>
      <c r="B850" t="s">
        <v>2358</v>
      </c>
      <c r="C850" t="s">
        <v>3141</v>
      </c>
      <c r="D850" t="s">
        <v>3142</v>
      </c>
      <c r="E850">
        <v>1</v>
      </c>
      <c r="F850" t="s">
        <v>3143</v>
      </c>
      <c r="G850" t="s">
        <v>2362</v>
      </c>
      <c r="H850" t="s">
        <v>3141</v>
      </c>
      <c r="I850" t="s">
        <v>3144</v>
      </c>
    </row>
    <row r="851" spans="1:9">
      <c r="A851" t="str">
        <f>"0017871 "</f>
        <v xml:space="preserve">0017871 </v>
      </c>
      <c r="B851" t="s">
        <v>2358</v>
      </c>
      <c r="C851" t="s">
        <v>3145</v>
      </c>
      <c r="D851" t="s">
        <v>3146</v>
      </c>
      <c r="E851" t="s">
        <v>20</v>
      </c>
      <c r="F851" t="s">
        <v>3147</v>
      </c>
      <c r="G851" t="s">
        <v>2362</v>
      </c>
      <c r="H851" t="s">
        <v>3145</v>
      </c>
      <c r="I851" t="s">
        <v>3148</v>
      </c>
    </row>
    <row r="852" spans="1:9">
      <c r="A852" t="str">
        <f>"0017877 "</f>
        <v xml:space="preserve">0017877 </v>
      </c>
      <c r="B852" t="s">
        <v>2358</v>
      </c>
      <c r="C852" t="s">
        <v>3149</v>
      </c>
      <c r="D852" t="s">
        <v>3150</v>
      </c>
      <c r="E852">
        <v>1</v>
      </c>
      <c r="F852" t="s">
        <v>2984</v>
      </c>
      <c r="G852" t="s">
        <v>2362</v>
      </c>
      <c r="H852" t="s">
        <v>3149</v>
      </c>
      <c r="I852" t="s">
        <v>3151</v>
      </c>
    </row>
    <row r="853" spans="1:9">
      <c r="A853" t="str">
        <f>"0017878 "</f>
        <v xml:space="preserve">0017878 </v>
      </c>
      <c r="B853" t="s">
        <v>2358</v>
      </c>
      <c r="C853" t="s">
        <v>3152</v>
      </c>
      <c r="D853" t="s">
        <v>3153</v>
      </c>
      <c r="E853">
        <v>1</v>
      </c>
      <c r="F853" t="s">
        <v>3154</v>
      </c>
      <c r="G853" t="s">
        <v>2362</v>
      </c>
      <c r="H853" t="s">
        <v>3152</v>
      </c>
      <c r="I853" t="s">
        <v>3155</v>
      </c>
    </row>
    <row r="854" spans="1:9">
      <c r="A854" t="str">
        <f>"0017879 "</f>
        <v xml:space="preserve">0017879 </v>
      </c>
      <c r="B854" t="s">
        <v>2358</v>
      </c>
      <c r="C854" t="s">
        <v>3156</v>
      </c>
      <c r="D854" t="s">
        <v>3157</v>
      </c>
      <c r="E854">
        <v>2</v>
      </c>
      <c r="F854" t="s">
        <v>3158</v>
      </c>
      <c r="G854" t="s">
        <v>2362</v>
      </c>
      <c r="H854" t="s">
        <v>3156</v>
      </c>
      <c r="I854" t="s">
        <v>3159</v>
      </c>
    </row>
    <row r="855" spans="1:9">
      <c r="A855" t="str">
        <f>"0017881 "</f>
        <v xml:space="preserve">0017881 </v>
      </c>
      <c r="B855" t="s">
        <v>2358</v>
      </c>
      <c r="C855" t="s">
        <v>3160</v>
      </c>
      <c r="D855" t="s">
        <v>3161</v>
      </c>
      <c r="E855">
        <v>1</v>
      </c>
      <c r="F855" t="s">
        <v>3162</v>
      </c>
      <c r="G855" t="s">
        <v>2362</v>
      </c>
      <c r="H855" t="s">
        <v>3160</v>
      </c>
      <c r="I855" t="s">
        <v>3163</v>
      </c>
    </row>
    <row r="856" spans="1:9">
      <c r="A856" t="str">
        <f>"0017888 "</f>
        <v xml:space="preserve">0017888 </v>
      </c>
      <c r="B856" t="s">
        <v>2358</v>
      </c>
      <c r="C856" t="s">
        <v>3164</v>
      </c>
      <c r="D856" t="s">
        <v>3165</v>
      </c>
      <c r="E856" t="s">
        <v>20</v>
      </c>
      <c r="F856" t="s">
        <v>3166</v>
      </c>
      <c r="G856" t="s">
        <v>2362</v>
      </c>
      <c r="H856" t="s">
        <v>3164</v>
      </c>
      <c r="I856" t="s">
        <v>3167</v>
      </c>
    </row>
    <row r="857" spans="1:9">
      <c r="A857" t="str">
        <f>"0017892 "</f>
        <v xml:space="preserve">0017892 </v>
      </c>
      <c r="B857" t="s">
        <v>2358</v>
      </c>
      <c r="C857" t="s">
        <v>3168</v>
      </c>
      <c r="D857" t="s">
        <v>3169</v>
      </c>
      <c r="E857">
        <v>4</v>
      </c>
      <c r="F857" t="s">
        <v>3170</v>
      </c>
      <c r="G857" t="s">
        <v>2362</v>
      </c>
      <c r="H857" t="s">
        <v>3168</v>
      </c>
      <c r="I857" t="s">
        <v>3171</v>
      </c>
    </row>
    <row r="858" spans="1:9">
      <c r="A858" t="str">
        <f>"0017894 "</f>
        <v xml:space="preserve">0017894 </v>
      </c>
      <c r="B858" t="s">
        <v>2358</v>
      </c>
      <c r="C858" t="s">
        <v>3172</v>
      </c>
      <c r="D858" t="s">
        <v>3173</v>
      </c>
      <c r="E858" t="s">
        <v>20</v>
      </c>
      <c r="F858" t="s">
        <v>3174</v>
      </c>
      <c r="G858" t="s">
        <v>2362</v>
      </c>
      <c r="H858" t="s">
        <v>3172</v>
      </c>
      <c r="I858" t="s">
        <v>3175</v>
      </c>
    </row>
    <row r="859" spans="1:9">
      <c r="A859" t="str">
        <f>"0017902 "</f>
        <v xml:space="preserve">0017902 </v>
      </c>
      <c r="B859" t="s">
        <v>2358</v>
      </c>
      <c r="C859" t="s">
        <v>3176</v>
      </c>
      <c r="D859" t="s">
        <v>3177</v>
      </c>
      <c r="E859">
        <v>1</v>
      </c>
      <c r="F859" t="s">
        <v>3178</v>
      </c>
      <c r="G859" t="s">
        <v>2362</v>
      </c>
      <c r="H859" t="s">
        <v>3176</v>
      </c>
      <c r="I859" t="s">
        <v>3179</v>
      </c>
    </row>
    <row r="860" spans="1:9">
      <c r="A860" t="str">
        <f>"0017903 "</f>
        <v xml:space="preserve">0017903 </v>
      </c>
      <c r="B860" t="s">
        <v>2358</v>
      </c>
      <c r="C860" t="s">
        <v>3180</v>
      </c>
      <c r="D860" t="s">
        <v>3181</v>
      </c>
      <c r="E860">
        <v>1</v>
      </c>
      <c r="F860" t="s">
        <v>3182</v>
      </c>
      <c r="G860" t="s">
        <v>2362</v>
      </c>
      <c r="H860" t="s">
        <v>3180</v>
      </c>
      <c r="I860" t="s">
        <v>3183</v>
      </c>
    </row>
    <row r="861" spans="1:9">
      <c r="A861" t="str">
        <f>"0020356 "</f>
        <v xml:space="preserve">0020356 </v>
      </c>
      <c r="B861" t="s">
        <v>2358</v>
      </c>
      <c r="C861" t="s">
        <v>3184</v>
      </c>
      <c r="D861" t="s">
        <v>3185</v>
      </c>
      <c r="E861">
        <v>3</v>
      </c>
      <c r="F861" t="s">
        <v>3186</v>
      </c>
      <c r="G861" t="s">
        <v>2362</v>
      </c>
      <c r="H861" t="s">
        <v>3184</v>
      </c>
      <c r="I861" t="s">
        <v>3187</v>
      </c>
    </row>
    <row r="862" spans="1:9">
      <c r="A862" t="str">
        <f>"0018718 "</f>
        <v xml:space="preserve">0018718 </v>
      </c>
      <c r="B862" t="s">
        <v>2358</v>
      </c>
      <c r="C862" t="s">
        <v>3188</v>
      </c>
      <c r="D862" t="s">
        <v>3189</v>
      </c>
      <c r="E862" t="s">
        <v>20</v>
      </c>
      <c r="F862" t="s">
        <v>3190</v>
      </c>
      <c r="G862" t="s">
        <v>2362</v>
      </c>
      <c r="H862" t="s">
        <v>3188</v>
      </c>
      <c r="I862" t="s">
        <v>3191</v>
      </c>
    </row>
    <row r="863" spans="1:9">
      <c r="A863" t="str">
        <f>"0017913 "</f>
        <v xml:space="preserve">0017913 </v>
      </c>
      <c r="B863" t="s">
        <v>2358</v>
      </c>
      <c r="C863" t="s">
        <v>3192</v>
      </c>
      <c r="D863" t="s">
        <v>3193</v>
      </c>
      <c r="E863" t="s">
        <v>20</v>
      </c>
      <c r="F863" t="s">
        <v>3194</v>
      </c>
      <c r="G863" t="s">
        <v>2362</v>
      </c>
      <c r="H863" t="s">
        <v>3192</v>
      </c>
      <c r="I863" t="s">
        <v>3195</v>
      </c>
    </row>
    <row r="864" spans="1:9">
      <c r="A864" t="str">
        <f>"0203742 "</f>
        <v xml:space="preserve">0203742 </v>
      </c>
      <c r="B864" t="s">
        <v>2358</v>
      </c>
      <c r="C864" t="s">
        <v>3196</v>
      </c>
      <c r="D864" t="s">
        <v>3197</v>
      </c>
      <c r="E864">
        <v>4</v>
      </c>
      <c r="F864" t="s">
        <v>3198</v>
      </c>
      <c r="G864" t="s">
        <v>2362</v>
      </c>
      <c r="H864" t="s">
        <v>3196</v>
      </c>
      <c r="I864" t="s">
        <v>3199</v>
      </c>
    </row>
    <row r="865" spans="1:9">
      <c r="A865" t="str">
        <f>"0017941 "</f>
        <v xml:space="preserve">0017941 </v>
      </c>
      <c r="B865" t="s">
        <v>2358</v>
      </c>
      <c r="C865" t="s">
        <v>3200</v>
      </c>
      <c r="D865" t="s">
        <v>3201</v>
      </c>
      <c r="E865" t="s">
        <v>20</v>
      </c>
      <c r="F865" t="s">
        <v>3202</v>
      </c>
      <c r="G865" t="s">
        <v>2362</v>
      </c>
      <c r="H865" t="s">
        <v>3200</v>
      </c>
      <c r="I865" t="s">
        <v>1344</v>
      </c>
    </row>
    <row r="866" spans="1:9">
      <c r="A866" t="str">
        <f>"0018986 "</f>
        <v xml:space="preserve">0018986 </v>
      </c>
      <c r="B866" t="s">
        <v>2358</v>
      </c>
      <c r="C866" t="s">
        <v>3203</v>
      </c>
      <c r="D866" t="s">
        <v>3204</v>
      </c>
      <c r="E866">
        <v>3</v>
      </c>
      <c r="F866" t="s">
        <v>3205</v>
      </c>
      <c r="G866" t="s">
        <v>2362</v>
      </c>
      <c r="H866" t="s">
        <v>3203</v>
      </c>
      <c r="I866" t="s">
        <v>3206</v>
      </c>
    </row>
    <row r="867" spans="1:9">
      <c r="A867" t="str">
        <f>"0020161 "</f>
        <v xml:space="preserve">0020161 </v>
      </c>
      <c r="B867" t="s">
        <v>2358</v>
      </c>
      <c r="C867" t="s">
        <v>3207</v>
      </c>
      <c r="D867" t="s">
        <v>3208</v>
      </c>
      <c r="E867">
        <v>1</v>
      </c>
      <c r="F867" t="s">
        <v>3209</v>
      </c>
      <c r="G867" t="s">
        <v>2362</v>
      </c>
      <c r="H867" t="s">
        <v>3207</v>
      </c>
      <c r="I867" t="s">
        <v>3210</v>
      </c>
    </row>
    <row r="868" spans="1:9">
      <c r="A868" t="str">
        <f>"0033771 "</f>
        <v xml:space="preserve">0033771 </v>
      </c>
      <c r="B868" t="s">
        <v>2358</v>
      </c>
      <c r="C868" t="s">
        <v>3211</v>
      </c>
      <c r="D868" t="s">
        <v>3212</v>
      </c>
      <c r="E868">
        <v>2</v>
      </c>
      <c r="F868" t="s">
        <v>3213</v>
      </c>
      <c r="G868" t="s">
        <v>2362</v>
      </c>
      <c r="H868" t="s">
        <v>3211</v>
      </c>
      <c r="I868" t="s">
        <v>3214</v>
      </c>
    </row>
    <row r="869" spans="1:9">
      <c r="A869" t="str">
        <f>"0033772 "</f>
        <v xml:space="preserve">0033772 </v>
      </c>
      <c r="B869" t="s">
        <v>2358</v>
      </c>
      <c r="C869" t="s">
        <v>3215</v>
      </c>
      <c r="D869" t="s">
        <v>3216</v>
      </c>
      <c r="E869">
        <v>5</v>
      </c>
      <c r="F869" t="s">
        <v>1546</v>
      </c>
      <c r="G869" t="s">
        <v>2362</v>
      </c>
      <c r="H869" t="s">
        <v>3215</v>
      </c>
      <c r="I869" t="s">
        <v>3217</v>
      </c>
    </row>
    <row r="870" spans="1:9">
      <c r="A870" t="str">
        <f>"0017951 "</f>
        <v xml:space="preserve">0017951 </v>
      </c>
      <c r="B870" t="s">
        <v>2358</v>
      </c>
      <c r="C870" t="s">
        <v>3218</v>
      </c>
      <c r="D870" t="s">
        <v>3219</v>
      </c>
      <c r="E870">
        <v>1</v>
      </c>
      <c r="F870" t="s">
        <v>3220</v>
      </c>
      <c r="G870" t="s">
        <v>2362</v>
      </c>
      <c r="H870" t="s">
        <v>3218</v>
      </c>
      <c r="I870" t="s">
        <v>3221</v>
      </c>
    </row>
    <row r="871" spans="1:9">
      <c r="A871" t="str">
        <f>"0017966 "</f>
        <v xml:space="preserve">0017966 </v>
      </c>
      <c r="B871" t="s">
        <v>2358</v>
      </c>
      <c r="C871" t="s">
        <v>3222</v>
      </c>
      <c r="D871" t="s">
        <v>3223</v>
      </c>
      <c r="E871">
        <v>1</v>
      </c>
      <c r="F871" t="s">
        <v>3224</v>
      </c>
      <c r="G871" t="s">
        <v>2362</v>
      </c>
      <c r="H871" t="s">
        <v>3222</v>
      </c>
      <c r="I871" t="s">
        <v>3225</v>
      </c>
    </row>
    <row r="872" spans="1:9">
      <c r="A872" t="str">
        <f>"0017967 "</f>
        <v xml:space="preserve">0017967 </v>
      </c>
      <c r="B872" t="s">
        <v>2358</v>
      </c>
      <c r="C872" t="s">
        <v>3226</v>
      </c>
      <c r="D872" t="s">
        <v>3227</v>
      </c>
      <c r="E872" t="s">
        <v>20</v>
      </c>
      <c r="F872" t="s">
        <v>3228</v>
      </c>
      <c r="G872" t="s">
        <v>2362</v>
      </c>
      <c r="H872" t="s">
        <v>3226</v>
      </c>
      <c r="I872" t="s">
        <v>3229</v>
      </c>
    </row>
    <row r="873" spans="1:9">
      <c r="A873" t="str">
        <f>"0017968 "</f>
        <v xml:space="preserve">0017968 </v>
      </c>
      <c r="B873" t="s">
        <v>2358</v>
      </c>
      <c r="C873" t="s">
        <v>3230</v>
      </c>
      <c r="D873" t="s">
        <v>3231</v>
      </c>
      <c r="E873">
        <v>1</v>
      </c>
      <c r="F873" t="s">
        <v>3232</v>
      </c>
      <c r="G873" t="s">
        <v>2362</v>
      </c>
      <c r="H873" t="s">
        <v>3230</v>
      </c>
      <c r="I873" t="s">
        <v>3233</v>
      </c>
    </row>
    <row r="874" spans="1:9">
      <c r="A874" t="str">
        <f>"0017970 "</f>
        <v xml:space="preserve">0017970 </v>
      </c>
      <c r="B874" t="s">
        <v>2358</v>
      </c>
      <c r="C874" t="s">
        <v>3234</v>
      </c>
      <c r="D874" t="s">
        <v>3235</v>
      </c>
      <c r="E874">
        <v>1</v>
      </c>
      <c r="F874" t="s">
        <v>3236</v>
      </c>
      <c r="G874" t="s">
        <v>2362</v>
      </c>
      <c r="H874" t="s">
        <v>3234</v>
      </c>
      <c r="I874" t="s">
        <v>3237</v>
      </c>
    </row>
    <row r="875" spans="1:9">
      <c r="A875" t="str">
        <f>"0017976 "</f>
        <v xml:space="preserve">0017976 </v>
      </c>
      <c r="B875" t="s">
        <v>2358</v>
      </c>
      <c r="C875" t="s">
        <v>3238</v>
      </c>
      <c r="D875" t="s">
        <v>3239</v>
      </c>
      <c r="E875">
        <v>3</v>
      </c>
      <c r="F875" t="s">
        <v>3240</v>
      </c>
      <c r="G875" t="s">
        <v>2362</v>
      </c>
      <c r="H875" t="s">
        <v>3238</v>
      </c>
      <c r="I875" t="s">
        <v>3241</v>
      </c>
    </row>
    <row r="876" spans="1:9">
      <c r="A876" t="str">
        <f>"0017985 "</f>
        <v xml:space="preserve">0017985 </v>
      </c>
      <c r="B876" t="s">
        <v>2358</v>
      </c>
      <c r="C876" t="s">
        <v>3242</v>
      </c>
      <c r="D876" t="s">
        <v>3243</v>
      </c>
      <c r="E876" t="s">
        <v>20</v>
      </c>
      <c r="F876" t="s">
        <v>3244</v>
      </c>
      <c r="G876" t="s">
        <v>2362</v>
      </c>
      <c r="H876" t="s">
        <v>3242</v>
      </c>
      <c r="I876" t="s">
        <v>3245</v>
      </c>
    </row>
    <row r="877" spans="1:9">
      <c r="A877" t="str">
        <f>"0017987 "</f>
        <v xml:space="preserve">0017987 </v>
      </c>
      <c r="B877" t="s">
        <v>2358</v>
      </c>
      <c r="C877" t="s">
        <v>3246</v>
      </c>
      <c r="D877" t="s">
        <v>3247</v>
      </c>
      <c r="E877">
        <v>1</v>
      </c>
      <c r="F877" t="s">
        <v>3248</v>
      </c>
      <c r="G877" t="s">
        <v>2362</v>
      </c>
      <c r="H877" t="s">
        <v>3246</v>
      </c>
      <c r="I877" t="s">
        <v>3249</v>
      </c>
    </row>
    <row r="878" spans="1:9">
      <c r="A878" t="str">
        <f>"0017990 "</f>
        <v xml:space="preserve">0017990 </v>
      </c>
      <c r="B878" t="s">
        <v>2358</v>
      </c>
      <c r="C878" t="s">
        <v>3250</v>
      </c>
      <c r="D878" t="s">
        <v>3251</v>
      </c>
      <c r="E878">
        <v>1</v>
      </c>
      <c r="F878" t="s">
        <v>3252</v>
      </c>
      <c r="G878" t="s">
        <v>2362</v>
      </c>
      <c r="H878" t="s">
        <v>3250</v>
      </c>
      <c r="I878" t="s">
        <v>1213</v>
      </c>
    </row>
    <row r="879" spans="1:9">
      <c r="A879" t="str">
        <f>"0017995 "</f>
        <v xml:space="preserve">0017995 </v>
      </c>
      <c r="B879" t="s">
        <v>2358</v>
      </c>
      <c r="C879" t="s">
        <v>3253</v>
      </c>
      <c r="D879" t="s">
        <v>3254</v>
      </c>
      <c r="E879">
        <v>1</v>
      </c>
      <c r="F879" t="s">
        <v>3255</v>
      </c>
      <c r="G879" t="s">
        <v>2362</v>
      </c>
      <c r="H879" t="s">
        <v>3253</v>
      </c>
      <c r="I879" t="s">
        <v>3256</v>
      </c>
    </row>
    <row r="880" spans="1:9">
      <c r="A880" t="str">
        <f>"0017996 "</f>
        <v xml:space="preserve">0017996 </v>
      </c>
      <c r="B880" t="s">
        <v>2358</v>
      </c>
      <c r="C880" t="s">
        <v>3257</v>
      </c>
      <c r="D880" t="s">
        <v>3258</v>
      </c>
      <c r="E880">
        <v>4</v>
      </c>
      <c r="F880" t="s">
        <v>3259</v>
      </c>
      <c r="G880" t="s">
        <v>2362</v>
      </c>
      <c r="H880" t="s">
        <v>3257</v>
      </c>
      <c r="I880" t="s">
        <v>3260</v>
      </c>
    </row>
    <row r="881" spans="1:9">
      <c r="A881" t="str">
        <f>"0017998 "</f>
        <v xml:space="preserve">0017998 </v>
      </c>
      <c r="B881" t="s">
        <v>2358</v>
      </c>
      <c r="C881" t="s">
        <v>3261</v>
      </c>
      <c r="D881" t="s">
        <v>3262</v>
      </c>
      <c r="E881">
        <v>1</v>
      </c>
      <c r="F881" t="s">
        <v>3263</v>
      </c>
      <c r="G881" t="s">
        <v>2362</v>
      </c>
      <c r="H881" t="s">
        <v>3261</v>
      </c>
      <c r="I881" t="s">
        <v>3264</v>
      </c>
    </row>
    <row r="882" spans="1:9">
      <c r="A882" t="str">
        <f>"0018000 "</f>
        <v xml:space="preserve">0018000 </v>
      </c>
      <c r="B882" t="s">
        <v>2358</v>
      </c>
      <c r="C882" t="s">
        <v>3265</v>
      </c>
      <c r="D882" t="s">
        <v>3266</v>
      </c>
      <c r="E882" t="s">
        <v>20</v>
      </c>
      <c r="F882" t="s">
        <v>3267</v>
      </c>
      <c r="G882" t="s">
        <v>2362</v>
      </c>
      <c r="H882" t="s">
        <v>3265</v>
      </c>
      <c r="I882" t="s">
        <v>3268</v>
      </c>
    </row>
    <row r="883" spans="1:9">
      <c r="A883" t="str">
        <f>"0018002 "</f>
        <v xml:space="preserve">0018002 </v>
      </c>
      <c r="B883" t="s">
        <v>2358</v>
      </c>
      <c r="C883" t="s">
        <v>3269</v>
      </c>
      <c r="D883" t="s">
        <v>3270</v>
      </c>
      <c r="E883">
        <v>1</v>
      </c>
      <c r="F883" t="s">
        <v>3271</v>
      </c>
      <c r="G883" t="s">
        <v>2362</v>
      </c>
      <c r="H883" t="s">
        <v>3269</v>
      </c>
      <c r="I883" t="s">
        <v>3272</v>
      </c>
    </row>
    <row r="884" spans="1:9">
      <c r="A884" t="str">
        <f>"0018005 "</f>
        <v xml:space="preserve">0018005 </v>
      </c>
      <c r="B884" t="s">
        <v>2358</v>
      </c>
      <c r="C884" t="s">
        <v>3273</v>
      </c>
      <c r="D884" t="s">
        <v>3274</v>
      </c>
      <c r="E884">
        <v>1</v>
      </c>
      <c r="F884" t="s">
        <v>3275</v>
      </c>
      <c r="G884" t="s">
        <v>2362</v>
      </c>
      <c r="H884" t="s">
        <v>3273</v>
      </c>
      <c r="I884" t="s">
        <v>3276</v>
      </c>
    </row>
    <row r="885" spans="1:9">
      <c r="A885" t="str">
        <f>"0018011 "</f>
        <v xml:space="preserve">0018011 </v>
      </c>
      <c r="B885" t="s">
        <v>2358</v>
      </c>
      <c r="C885" t="s">
        <v>3277</v>
      </c>
      <c r="D885" t="s">
        <v>3278</v>
      </c>
      <c r="E885">
        <v>2</v>
      </c>
      <c r="F885" t="s">
        <v>3279</v>
      </c>
      <c r="G885" t="s">
        <v>2362</v>
      </c>
      <c r="H885" t="s">
        <v>3277</v>
      </c>
      <c r="I885" t="s">
        <v>2635</v>
      </c>
    </row>
    <row r="886" spans="1:9">
      <c r="A886" t="str">
        <f>"0018013 "</f>
        <v xml:space="preserve">0018013 </v>
      </c>
      <c r="B886" t="s">
        <v>2358</v>
      </c>
      <c r="C886" t="s">
        <v>3280</v>
      </c>
      <c r="D886" t="s">
        <v>3281</v>
      </c>
      <c r="E886">
        <v>1</v>
      </c>
      <c r="F886" t="s">
        <v>3282</v>
      </c>
      <c r="G886" t="s">
        <v>2362</v>
      </c>
      <c r="H886" t="s">
        <v>3280</v>
      </c>
      <c r="I886" t="s">
        <v>3283</v>
      </c>
    </row>
    <row r="887" spans="1:9">
      <c r="A887" t="str">
        <f>"0018014 "</f>
        <v xml:space="preserve">0018014 </v>
      </c>
      <c r="B887" t="s">
        <v>2358</v>
      </c>
      <c r="C887" t="s">
        <v>3284</v>
      </c>
      <c r="D887" t="s">
        <v>3285</v>
      </c>
      <c r="E887">
        <v>1</v>
      </c>
      <c r="F887" t="s">
        <v>3286</v>
      </c>
      <c r="G887" t="s">
        <v>2362</v>
      </c>
      <c r="H887" t="s">
        <v>3284</v>
      </c>
      <c r="I887" t="s">
        <v>1217</v>
      </c>
    </row>
    <row r="888" spans="1:9">
      <c r="A888" t="str">
        <f>"0018017 "</f>
        <v xml:space="preserve">0018017 </v>
      </c>
      <c r="B888" t="s">
        <v>2358</v>
      </c>
      <c r="C888" t="s">
        <v>3287</v>
      </c>
      <c r="D888" t="s">
        <v>3288</v>
      </c>
      <c r="E888">
        <v>1</v>
      </c>
      <c r="F888" t="s">
        <v>3289</v>
      </c>
      <c r="G888" t="s">
        <v>2362</v>
      </c>
      <c r="H888" t="s">
        <v>3287</v>
      </c>
      <c r="I888" t="s">
        <v>3290</v>
      </c>
    </row>
    <row r="889" spans="1:9">
      <c r="A889" t="str">
        <f>"0198096 "</f>
        <v xml:space="preserve">0198096 </v>
      </c>
      <c r="B889" t="s">
        <v>2358</v>
      </c>
      <c r="C889" t="s">
        <v>3291</v>
      </c>
      <c r="D889" t="s">
        <v>3292</v>
      </c>
      <c r="E889">
        <v>1</v>
      </c>
      <c r="F889" t="s">
        <v>3293</v>
      </c>
      <c r="G889" t="s">
        <v>2362</v>
      </c>
      <c r="H889" t="s">
        <v>3291</v>
      </c>
      <c r="I889" t="s">
        <v>3294</v>
      </c>
    </row>
    <row r="890" spans="1:9">
      <c r="A890" t="str">
        <f>"0018019 "</f>
        <v xml:space="preserve">0018019 </v>
      </c>
      <c r="B890" t="s">
        <v>2358</v>
      </c>
      <c r="C890" t="s">
        <v>3295</v>
      </c>
      <c r="D890" t="s">
        <v>3296</v>
      </c>
      <c r="E890">
        <v>3</v>
      </c>
      <c r="F890" t="s">
        <v>3066</v>
      </c>
      <c r="G890" t="s">
        <v>2362</v>
      </c>
      <c r="H890" t="s">
        <v>3295</v>
      </c>
      <c r="I890" t="s">
        <v>1249</v>
      </c>
    </row>
    <row r="891" spans="1:9">
      <c r="A891" t="str">
        <f>"0018022 "</f>
        <v xml:space="preserve">0018022 </v>
      </c>
      <c r="B891" t="s">
        <v>2358</v>
      </c>
      <c r="C891" t="s">
        <v>3297</v>
      </c>
      <c r="D891" t="s">
        <v>3298</v>
      </c>
      <c r="E891">
        <v>1</v>
      </c>
      <c r="F891" t="s">
        <v>3299</v>
      </c>
      <c r="G891" t="s">
        <v>2362</v>
      </c>
      <c r="H891" t="s">
        <v>3297</v>
      </c>
      <c r="I891" t="s">
        <v>3300</v>
      </c>
    </row>
    <row r="892" spans="1:9">
      <c r="A892" t="str">
        <f>"0018024 "</f>
        <v xml:space="preserve">0018024 </v>
      </c>
      <c r="B892" t="s">
        <v>2358</v>
      </c>
      <c r="C892" t="s">
        <v>3301</v>
      </c>
      <c r="D892" t="s">
        <v>3302</v>
      </c>
      <c r="E892">
        <v>2</v>
      </c>
      <c r="F892" t="s">
        <v>3303</v>
      </c>
      <c r="G892" t="s">
        <v>2362</v>
      </c>
      <c r="H892" t="s">
        <v>3301</v>
      </c>
      <c r="I892" t="s">
        <v>3304</v>
      </c>
    </row>
    <row r="893" spans="1:9">
      <c r="A893" t="str">
        <f>"0018025 "</f>
        <v xml:space="preserve">0018025 </v>
      </c>
      <c r="B893" t="s">
        <v>2358</v>
      </c>
      <c r="C893" t="s">
        <v>3305</v>
      </c>
      <c r="D893" t="s">
        <v>3306</v>
      </c>
      <c r="E893">
        <v>1</v>
      </c>
      <c r="F893" t="s">
        <v>3307</v>
      </c>
      <c r="G893" t="s">
        <v>2362</v>
      </c>
      <c r="H893" t="s">
        <v>3305</v>
      </c>
      <c r="I893" t="s">
        <v>3308</v>
      </c>
    </row>
    <row r="894" spans="1:9">
      <c r="A894" t="str">
        <f>"0018027 "</f>
        <v xml:space="preserve">0018027 </v>
      </c>
      <c r="B894" t="s">
        <v>2358</v>
      </c>
      <c r="C894" t="s">
        <v>3309</v>
      </c>
      <c r="D894" t="s">
        <v>3310</v>
      </c>
      <c r="E894">
        <v>1</v>
      </c>
      <c r="F894" t="s">
        <v>3311</v>
      </c>
      <c r="G894" t="s">
        <v>2362</v>
      </c>
      <c r="H894" t="s">
        <v>3309</v>
      </c>
      <c r="I894" t="s">
        <v>3312</v>
      </c>
    </row>
    <row r="895" spans="1:9">
      <c r="A895" t="str">
        <f>"0018030 "</f>
        <v xml:space="preserve">0018030 </v>
      </c>
      <c r="B895" t="s">
        <v>2358</v>
      </c>
      <c r="C895" t="s">
        <v>3313</v>
      </c>
      <c r="D895" t="s">
        <v>3314</v>
      </c>
      <c r="E895" t="s">
        <v>20</v>
      </c>
      <c r="F895" t="s">
        <v>3315</v>
      </c>
      <c r="G895" t="s">
        <v>2362</v>
      </c>
      <c r="H895" t="s">
        <v>3313</v>
      </c>
      <c r="I895" t="s">
        <v>3316</v>
      </c>
    </row>
    <row r="896" spans="1:9">
      <c r="A896" t="str">
        <f>"0018031 "</f>
        <v xml:space="preserve">0018031 </v>
      </c>
      <c r="B896" t="s">
        <v>2358</v>
      </c>
      <c r="C896" t="s">
        <v>3317</v>
      </c>
      <c r="D896" t="s">
        <v>3318</v>
      </c>
      <c r="E896" t="s">
        <v>20</v>
      </c>
      <c r="F896" t="s">
        <v>3319</v>
      </c>
      <c r="G896" t="s">
        <v>2362</v>
      </c>
      <c r="H896" t="s">
        <v>3317</v>
      </c>
      <c r="I896" t="s">
        <v>1288</v>
      </c>
    </row>
    <row r="897" spans="1:9">
      <c r="A897" t="str">
        <f>"0018034 "</f>
        <v xml:space="preserve">0018034 </v>
      </c>
      <c r="B897" t="s">
        <v>2358</v>
      </c>
      <c r="C897" t="s">
        <v>3320</v>
      </c>
      <c r="D897" t="s">
        <v>3321</v>
      </c>
      <c r="E897">
        <v>1</v>
      </c>
      <c r="F897" t="s">
        <v>3293</v>
      </c>
      <c r="G897" t="s">
        <v>2362</v>
      </c>
      <c r="H897" t="s">
        <v>3320</v>
      </c>
      <c r="I897" t="s">
        <v>3322</v>
      </c>
    </row>
    <row r="898" spans="1:9">
      <c r="A898" t="str">
        <f>"0018721 "</f>
        <v xml:space="preserve">0018721 </v>
      </c>
      <c r="B898" t="s">
        <v>2358</v>
      </c>
      <c r="C898" t="s">
        <v>3323</v>
      </c>
      <c r="D898" t="s">
        <v>3324</v>
      </c>
      <c r="E898">
        <v>1</v>
      </c>
      <c r="F898" t="s">
        <v>3325</v>
      </c>
      <c r="G898" t="s">
        <v>2362</v>
      </c>
      <c r="H898" t="s">
        <v>3323</v>
      </c>
      <c r="I898" t="s">
        <v>3326</v>
      </c>
    </row>
    <row r="899" spans="1:9">
      <c r="A899" t="str">
        <f>"0018040 "</f>
        <v xml:space="preserve">0018040 </v>
      </c>
      <c r="B899" t="s">
        <v>2358</v>
      </c>
      <c r="C899" t="s">
        <v>3327</v>
      </c>
      <c r="D899" t="s">
        <v>3328</v>
      </c>
      <c r="E899" t="s">
        <v>20</v>
      </c>
      <c r="F899" t="s">
        <v>3329</v>
      </c>
      <c r="G899" t="s">
        <v>2362</v>
      </c>
      <c r="H899" t="s">
        <v>3327</v>
      </c>
      <c r="I899" t="s">
        <v>3330</v>
      </c>
    </row>
    <row r="900" spans="1:9">
      <c r="A900" t="str">
        <f>"0018043 "</f>
        <v xml:space="preserve">0018043 </v>
      </c>
      <c r="B900" t="s">
        <v>2358</v>
      </c>
      <c r="C900" t="s">
        <v>3331</v>
      </c>
      <c r="D900" t="s">
        <v>3332</v>
      </c>
      <c r="E900">
        <v>2</v>
      </c>
      <c r="F900" t="s">
        <v>3333</v>
      </c>
      <c r="G900" t="s">
        <v>2362</v>
      </c>
      <c r="H900" t="s">
        <v>3331</v>
      </c>
      <c r="I900" t="s">
        <v>3334</v>
      </c>
    </row>
    <row r="901" spans="1:9">
      <c r="A901" t="str">
        <f>"0018722 "</f>
        <v xml:space="preserve">0018722 </v>
      </c>
      <c r="B901" t="s">
        <v>2358</v>
      </c>
      <c r="C901" t="s">
        <v>3335</v>
      </c>
      <c r="D901" t="s">
        <v>3336</v>
      </c>
      <c r="E901">
        <v>1</v>
      </c>
      <c r="F901" t="s">
        <v>3337</v>
      </c>
      <c r="G901" t="s">
        <v>2362</v>
      </c>
      <c r="H901" t="s">
        <v>3335</v>
      </c>
      <c r="I901" t="s">
        <v>1310</v>
      </c>
    </row>
    <row r="902" spans="1:9">
      <c r="A902" t="str">
        <f>"0018058 "</f>
        <v xml:space="preserve">0018058 </v>
      </c>
      <c r="B902" t="s">
        <v>2358</v>
      </c>
      <c r="C902" t="s">
        <v>3338</v>
      </c>
      <c r="D902" t="s">
        <v>3339</v>
      </c>
      <c r="E902" t="s">
        <v>20</v>
      </c>
      <c r="F902" t="s">
        <v>3282</v>
      </c>
      <c r="G902" t="s">
        <v>2362</v>
      </c>
      <c r="H902" t="s">
        <v>3338</v>
      </c>
      <c r="I902" t="s">
        <v>3340</v>
      </c>
    </row>
    <row r="903" spans="1:9">
      <c r="A903" t="str">
        <f>"0018060 "</f>
        <v xml:space="preserve">0018060 </v>
      </c>
      <c r="B903" t="s">
        <v>2358</v>
      </c>
      <c r="C903" t="s">
        <v>3341</v>
      </c>
      <c r="D903" t="s">
        <v>3342</v>
      </c>
      <c r="E903">
        <v>1</v>
      </c>
      <c r="F903" t="s">
        <v>3343</v>
      </c>
      <c r="G903" t="s">
        <v>2362</v>
      </c>
      <c r="H903" t="s">
        <v>3341</v>
      </c>
      <c r="I903" t="s">
        <v>3344</v>
      </c>
    </row>
    <row r="904" spans="1:9">
      <c r="A904" t="str">
        <f>"0018062 "</f>
        <v xml:space="preserve">0018062 </v>
      </c>
      <c r="B904" t="s">
        <v>2358</v>
      </c>
      <c r="C904" t="s">
        <v>3345</v>
      </c>
      <c r="D904" t="s">
        <v>3346</v>
      </c>
      <c r="E904">
        <v>1</v>
      </c>
      <c r="F904" t="s">
        <v>3347</v>
      </c>
      <c r="G904" t="s">
        <v>2362</v>
      </c>
      <c r="H904" t="s">
        <v>3345</v>
      </c>
      <c r="I904" t="s">
        <v>3348</v>
      </c>
    </row>
    <row r="905" spans="1:9">
      <c r="A905" t="str">
        <f>"0020357 "</f>
        <v xml:space="preserve">0020357 </v>
      </c>
      <c r="B905" t="s">
        <v>2358</v>
      </c>
      <c r="C905" t="s">
        <v>3349</v>
      </c>
      <c r="D905" t="s">
        <v>3350</v>
      </c>
      <c r="E905">
        <v>2</v>
      </c>
      <c r="F905" t="s">
        <v>3351</v>
      </c>
      <c r="G905" t="s">
        <v>2362</v>
      </c>
      <c r="H905" t="s">
        <v>3349</v>
      </c>
      <c r="I905" t="s">
        <v>3352</v>
      </c>
    </row>
    <row r="906" spans="1:9">
      <c r="A906" t="str">
        <f>"0018723 "</f>
        <v xml:space="preserve">0018723 </v>
      </c>
      <c r="B906" t="s">
        <v>2358</v>
      </c>
      <c r="C906" t="s">
        <v>3353</v>
      </c>
      <c r="D906" t="s">
        <v>3354</v>
      </c>
      <c r="E906">
        <v>2</v>
      </c>
      <c r="F906" t="s">
        <v>3355</v>
      </c>
      <c r="G906" t="s">
        <v>2362</v>
      </c>
      <c r="H906" t="s">
        <v>3353</v>
      </c>
      <c r="I906" t="s">
        <v>3356</v>
      </c>
    </row>
    <row r="907" spans="1:9">
      <c r="A907" t="str">
        <f>"0018074 "</f>
        <v xml:space="preserve">0018074 </v>
      </c>
      <c r="B907" t="s">
        <v>2358</v>
      </c>
      <c r="C907" t="s">
        <v>3357</v>
      </c>
      <c r="D907" t="s">
        <v>3358</v>
      </c>
      <c r="E907">
        <v>1</v>
      </c>
      <c r="F907" t="s">
        <v>3359</v>
      </c>
      <c r="G907" t="s">
        <v>2362</v>
      </c>
      <c r="H907" t="s">
        <v>3357</v>
      </c>
      <c r="I907" t="s">
        <v>3360</v>
      </c>
    </row>
    <row r="908" spans="1:9">
      <c r="A908" t="str">
        <f>"0018076 "</f>
        <v xml:space="preserve">0018076 </v>
      </c>
      <c r="B908" t="s">
        <v>2358</v>
      </c>
      <c r="C908" t="s">
        <v>3361</v>
      </c>
      <c r="D908" t="s">
        <v>3362</v>
      </c>
      <c r="E908">
        <v>2</v>
      </c>
      <c r="F908" t="s">
        <v>3363</v>
      </c>
      <c r="G908" t="s">
        <v>2362</v>
      </c>
      <c r="H908" t="s">
        <v>3361</v>
      </c>
      <c r="I908" t="s">
        <v>3364</v>
      </c>
    </row>
    <row r="909" spans="1:9">
      <c r="A909" t="str">
        <f>"0018087 "</f>
        <v xml:space="preserve">0018087 </v>
      </c>
      <c r="B909" t="s">
        <v>2358</v>
      </c>
      <c r="C909" t="s">
        <v>3365</v>
      </c>
      <c r="D909" t="s">
        <v>3366</v>
      </c>
      <c r="E909">
        <v>1</v>
      </c>
      <c r="F909" t="s">
        <v>3367</v>
      </c>
      <c r="G909" t="s">
        <v>2362</v>
      </c>
      <c r="H909" t="s">
        <v>3365</v>
      </c>
      <c r="I909" t="s">
        <v>3368</v>
      </c>
    </row>
    <row r="910" spans="1:9">
      <c r="A910" t="str">
        <f>"0033774 "</f>
        <v xml:space="preserve">0033774 </v>
      </c>
      <c r="B910" t="s">
        <v>2358</v>
      </c>
      <c r="C910" t="s">
        <v>3369</v>
      </c>
      <c r="D910" t="s">
        <v>3370</v>
      </c>
      <c r="E910">
        <v>2</v>
      </c>
      <c r="F910" t="s">
        <v>2824</v>
      </c>
      <c r="G910" t="s">
        <v>2362</v>
      </c>
      <c r="H910" t="s">
        <v>3369</v>
      </c>
      <c r="I910" t="s">
        <v>3371</v>
      </c>
    </row>
    <row r="911" spans="1:9">
      <c r="A911" t="str">
        <f>"0018089 "</f>
        <v xml:space="preserve">0018089 </v>
      </c>
      <c r="B911" t="s">
        <v>2358</v>
      </c>
      <c r="C911" t="s">
        <v>3372</v>
      </c>
      <c r="D911" t="s">
        <v>3373</v>
      </c>
      <c r="E911">
        <v>2</v>
      </c>
      <c r="F911" t="s">
        <v>3374</v>
      </c>
      <c r="G911" t="s">
        <v>2362</v>
      </c>
      <c r="H911" t="s">
        <v>3372</v>
      </c>
      <c r="I911" t="s">
        <v>3375</v>
      </c>
    </row>
    <row r="912" spans="1:9">
      <c r="A912" t="str">
        <f>"0018091 "</f>
        <v xml:space="preserve">0018091 </v>
      </c>
      <c r="B912" t="s">
        <v>2358</v>
      </c>
      <c r="C912" t="s">
        <v>3376</v>
      </c>
      <c r="D912" t="s">
        <v>3377</v>
      </c>
      <c r="E912" t="s">
        <v>20</v>
      </c>
      <c r="F912" t="s">
        <v>3378</v>
      </c>
      <c r="G912" t="s">
        <v>2362</v>
      </c>
      <c r="H912" t="s">
        <v>3376</v>
      </c>
      <c r="I912" t="s">
        <v>3379</v>
      </c>
    </row>
    <row r="913" spans="1:9">
      <c r="A913" t="str">
        <f>"0018094 "</f>
        <v xml:space="preserve">0018094 </v>
      </c>
      <c r="B913" t="s">
        <v>2358</v>
      </c>
      <c r="C913" t="s">
        <v>3380</v>
      </c>
      <c r="D913" t="s">
        <v>3381</v>
      </c>
      <c r="E913">
        <v>1</v>
      </c>
      <c r="F913" t="s">
        <v>3382</v>
      </c>
      <c r="G913" t="s">
        <v>2362</v>
      </c>
      <c r="H913" t="s">
        <v>3380</v>
      </c>
      <c r="I913" t="s">
        <v>3383</v>
      </c>
    </row>
    <row r="914" spans="1:9">
      <c r="A914" t="str">
        <f>"0018097 "</f>
        <v xml:space="preserve">0018097 </v>
      </c>
      <c r="B914" t="s">
        <v>2358</v>
      </c>
      <c r="C914" t="s">
        <v>3384</v>
      </c>
      <c r="D914" t="s">
        <v>3385</v>
      </c>
      <c r="E914">
        <v>1</v>
      </c>
      <c r="F914" t="s">
        <v>3386</v>
      </c>
      <c r="G914" t="s">
        <v>2362</v>
      </c>
      <c r="H914" t="s">
        <v>3384</v>
      </c>
      <c r="I914" t="s">
        <v>3387</v>
      </c>
    </row>
    <row r="915" spans="1:9">
      <c r="A915" t="str">
        <f>"0018726 "</f>
        <v xml:space="preserve">0018726 </v>
      </c>
      <c r="B915" t="s">
        <v>2358</v>
      </c>
      <c r="C915" t="s">
        <v>3388</v>
      </c>
      <c r="D915" t="s">
        <v>3389</v>
      </c>
      <c r="E915">
        <v>3</v>
      </c>
      <c r="F915" t="s">
        <v>3390</v>
      </c>
      <c r="G915" t="s">
        <v>2362</v>
      </c>
      <c r="H915" t="s">
        <v>3388</v>
      </c>
      <c r="I915" t="s">
        <v>3391</v>
      </c>
    </row>
    <row r="916" spans="1:9">
      <c r="A916" t="str">
        <f>"0038133 "</f>
        <v xml:space="preserve">0038133 </v>
      </c>
      <c r="B916" t="s">
        <v>2358</v>
      </c>
      <c r="C916" t="s">
        <v>3392</v>
      </c>
      <c r="D916" t="s">
        <v>3393</v>
      </c>
      <c r="E916">
        <v>1</v>
      </c>
      <c r="F916" t="s">
        <v>3394</v>
      </c>
      <c r="G916" t="s">
        <v>2362</v>
      </c>
      <c r="H916" t="s">
        <v>3392</v>
      </c>
      <c r="I916" t="s">
        <v>3395</v>
      </c>
    </row>
    <row r="917" spans="1:9">
      <c r="A917" t="str">
        <f>"0018098 "</f>
        <v xml:space="preserve">0018098 </v>
      </c>
      <c r="B917" t="s">
        <v>2358</v>
      </c>
      <c r="C917" t="s">
        <v>3396</v>
      </c>
      <c r="D917" t="s">
        <v>3397</v>
      </c>
      <c r="E917">
        <v>1</v>
      </c>
      <c r="F917" t="s">
        <v>112</v>
      </c>
      <c r="G917" t="s">
        <v>2362</v>
      </c>
      <c r="H917" t="s">
        <v>3396</v>
      </c>
      <c r="I917" t="s">
        <v>3398</v>
      </c>
    </row>
    <row r="918" spans="1:9">
      <c r="A918" t="str">
        <f>"0018729 "</f>
        <v xml:space="preserve">0018729 </v>
      </c>
      <c r="B918" t="s">
        <v>2358</v>
      </c>
      <c r="C918" t="s">
        <v>3399</v>
      </c>
      <c r="D918" t="s">
        <v>3400</v>
      </c>
      <c r="E918">
        <v>5</v>
      </c>
      <c r="F918" t="s">
        <v>1540</v>
      </c>
      <c r="G918" t="s">
        <v>2362</v>
      </c>
      <c r="H918" t="s">
        <v>3399</v>
      </c>
      <c r="I918" t="s">
        <v>3401</v>
      </c>
    </row>
    <row r="919" spans="1:9">
      <c r="A919" t="str">
        <f>"0018109 "</f>
        <v xml:space="preserve">0018109 </v>
      </c>
      <c r="B919" t="s">
        <v>2358</v>
      </c>
      <c r="C919" t="s">
        <v>3402</v>
      </c>
      <c r="D919" t="s">
        <v>3403</v>
      </c>
      <c r="E919">
        <v>1</v>
      </c>
      <c r="F919" t="s">
        <v>3404</v>
      </c>
      <c r="G919" t="s">
        <v>2362</v>
      </c>
      <c r="H919" t="s">
        <v>3402</v>
      </c>
      <c r="I919" t="s">
        <v>3405</v>
      </c>
    </row>
    <row r="920" spans="1:9">
      <c r="A920" t="str">
        <f>"0020165 "</f>
        <v xml:space="preserve">0020165 </v>
      </c>
      <c r="B920" t="s">
        <v>2358</v>
      </c>
      <c r="C920" t="s">
        <v>3406</v>
      </c>
      <c r="D920" t="s">
        <v>3407</v>
      </c>
      <c r="E920" t="s">
        <v>20</v>
      </c>
      <c r="F920" t="s">
        <v>3408</v>
      </c>
      <c r="G920" t="s">
        <v>2362</v>
      </c>
      <c r="H920" t="s">
        <v>3406</v>
      </c>
      <c r="I920" t="s">
        <v>3409</v>
      </c>
    </row>
    <row r="921" spans="1:9">
      <c r="A921" t="str">
        <f>"0018110 "</f>
        <v xml:space="preserve">0018110 </v>
      </c>
      <c r="B921" t="s">
        <v>2358</v>
      </c>
      <c r="C921" t="s">
        <v>3410</v>
      </c>
      <c r="D921" t="s">
        <v>3411</v>
      </c>
      <c r="E921">
        <v>2</v>
      </c>
      <c r="F921" t="s">
        <v>3412</v>
      </c>
      <c r="G921" t="s">
        <v>2362</v>
      </c>
      <c r="H921" t="s">
        <v>3410</v>
      </c>
      <c r="I921" t="s">
        <v>3413</v>
      </c>
    </row>
    <row r="922" spans="1:9">
      <c r="A922" t="str">
        <f>"0018113 "</f>
        <v xml:space="preserve">0018113 </v>
      </c>
      <c r="B922" t="s">
        <v>2358</v>
      </c>
      <c r="C922" t="s">
        <v>3414</v>
      </c>
      <c r="D922" t="s">
        <v>3415</v>
      </c>
      <c r="E922">
        <v>1</v>
      </c>
      <c r="F922" t="s">
        <v>3416</v>
      </c>
      <c r="G922" t="s">
        <v>2362</v>
      </c>
      <c r="H922" t="s">
        <v>3414</v>
      </c>
      <c r="I922" t="s">
        <v>3417</v>
      </c>
    </row>
    <row r="923" spans="1:9">
      <c r="A923" t="str">
        <f>"0020166 "</f>
        <v xml:space="preserve">0020166 </v>
      </c>
      <c r="B923" t="s">
        <v>2358</v>
      </c>
      <c r="C923" t="s">
        <v>3418</v>
      </c>
      <c r="D923" t="s">
        <v>3419</v>
      </c>
      <c r="E923">
        <v>1</v>
      </c>
      <c r="F923" t="s">
        <v>2666</v>
      </c>
      <c r="G923" t="s">
        <v>2362</v>
      </c>
      <c r="H923" t="s">
        <v>3418</v>
      </c>
      <c r="I923" t="s">
        <v>3420</v>
      </c>
    </row>
    <row r="924" spans="1:9">
      <c r="A924" t="str">
        <f>"0018734 "</f>
        <v xml:space="preserve">0018734 </v>
      </c>
      <c r="B924" t="s">
        <v>2358</v>
      </c>
      <c r="C924" t="s">
        <v>3421</v>
      </c>
      <c r="D924" t="s">
        <v>3422</v>
      </c>
      <c r="E924" t="s">
        <v>20</v>
      </c>
      <c r="F924" t="s">
        <v>3423</v>
      </c>
      <c r="G924" t="s">
        <v>2362</v>
      </c>
      <c r="H924" t="s">
        <v>3421</v>
      </c>
      <c r="I924" t="s">
        <v>3424</v>
      </c>
    </row>
    <row r="925" spans="1:9">
      <c r="A925" t="str">
        <f>"0018989 "</f>
        <v xml:space="preserve">0018989 </v>
      </c>
      <c r="B925" t="s">
        <v>2358</v>
      </c>
      <c r="C925" t="s">
        <v>3425</v>
      </c>
      <c r="D925" t="s">
        <v>3426</v>
      </c>
      <c r="E925">
        <v>1</v>
      </c>
      <c r="F925" t="s">
        <v>3427</v>
      </c>
      <c r="G925" t="s">
        <v>2362</v>
      </c>
      <c r="H925" t="s">
        <v>3425</v>
      </c>
      <c r="I925" t="s">
        <v>3428</v>
      </c>
    </row>
    <row r="926" spans="1:9">
      <c r="A926" t="str">
        <f>"0018135 "</f>
        <v xml:space="preserve">0018135 </v>
      </c>
      <c r="B926" t="s">
        <v>2358</v>
      </c>
      <c r="C926" t="s">
        <v>3429</v>
      </c>
      <c r="D926" t="s">
        <v>3430</v>
      </c>
      <c r="E926">
        <v>1</v>
      </c>
      <c r="F926" t="s">
        <v>3431</v>
      </c>
      <c r="G926" t="s">
        <v>2362</v>
      </c>
      <c r="H926" t="s">
        <v>3429</v>
      </c>
      <c r="I926" t="s">
        <v>3432</v>
      </c>
    </row>
    <row r="927" spans="1:9">
      <c r="A927" t="str">
        <f>"0018137 "</f>
        <v xml:space="preserve">0018137 </v>
      </c>
      <c r="B927" t="s">
        <v>2358</v>
      </c>
      <c r="C927" t="s">
        <v>3433</v>
      </c>
      <c r="D927" t="s">
        <v>3434</v>
      </c>
      <c r="E927">
        <v>1</v>
      </c>
      <c r="F927" t="s">
        <v>3435</v>
      </c>
      <c r="G927" t="s">
        <v>2362</v>
      </c>
      <c r="H927" t="s">
        <v>3433</v>
      </c>
      <c r="I927" t="s">
        <v>3436</v>
      </c>
    </row>
    <row r="928" spans="1:9">
      <c r="A928" t="str">
        <f>"0090647 "</f>
        <v xml:space="preserve">0090647 </v>
      </c>
      <c r="B928" t="s">
        <v>2358</v>
      </c>
      <c r="C928" t="s">
        <v>3437</v>
      </c>
      <c r="D928" t="s">
        <v>3438</v>
      </c>
      <c r="E928">
        <v>1</v>
      </c>
      <c r="F928" t="s">
        <v>3439</v>
      </c>
      <c r="G928" t="s">
        <v>2362</v>
      </c>
      <c r="H928" t="s">
        <v>3437</v>
      </c>
      <c r="I928" t="s">
        <v>3440</v>
      </c>
    </row>
    <row r="929" spans="1:9">
      <c r="A929" t="str">
        <f>"0007950 "</f>
        <v xml:space="preserve">0007950 </v>
      </c>
      <c r="B929" t="s">
        <v>3441</v>
      </c>
      <c r="C929" t="s">
        <v>3442</v>
      </c>
      <c r="D929" t="s">
        <v>3443</v>
      </c>
      <c r="E929">
        <v>1</v>
      </c>
      <c r="F929" t="s">
        <v>3444</v>
      </c>
      <c r="G929" t="s">
        <v>3445</v>
      </c>
      <c r="H929" t="s">
        <v>3442</v>
      </c>
      <c r="I929" t="s">
        <v>3446</v>
      </c>
    </row>
    <row r="930" spans="1:9">
      <c r="A930" t="str">
        <f>"0007975 "</f>
        <v xml:space="preserve">0007975 </v>
      </c>
      <c r="B930" t="s">
        <v>3441</v>
      </c>
      <c r="C930" t="s">
        <v>2368</v>
      </c>
      <c r="D930" t="s">
        <v>3447</v>
      </c>
      <c r="E930">
        <v>1</v>
      </c>
      <c r="F930" t="s">
        <v>2370</v>
      </c>
      <c r="G930" t="s">
        <v>3445</v>
      </c>
      <c r="H930" t="s">
        <v>2368</v>
      </c>
      <c r="I930" t="s">
        <v>2371</v>
      </c>
    </row>
    <row r="931" spans="1:9">
      <c r="A931" t="str">
        <f>"0007982 "</f>
        <v xml:space="preserve">0007982 </v>
      </c>
      <c r="B931" t="s">
        <v>3441</v>
      </c>
      <c r="C931" t="s">
        <v>3448</v>
      </c>
      <c r="D931" t="s">
        <v>3449</v>
      </c>
      <c r="E931">
        <v>3</v>
      </c>
      <c r="F931" t="s">
        <v>3450</v>
      </c>
      <c r="G931" t="s">
        <v>3445</v>
      </c>
      <c r="H931" t="s">
        <v>3448</v>
      </c>
      <c r="I931" t="s">
        <v>3451</v>
      </c>
    </row>
    <row r="932" spans="1:9">
      <c r="A932" t="str">
        <f>"0007986 "</f>
        <v xml:space="preserve">0007986 </v>
      </c>
      <c r="B932" t="s">
        <v>3441</v>
      </c>
      <c r="C932" t="s">
        <v>2376</v>
      </c>
      <c r="D932" t="s">
        <v>3452</v>
      </c>
      <c r="E932">
        <v>1</v>
      </c>
      <c r="F932" t="s">
        <v>2378</v>
      </c>
      <c r="G932" t="s">
        <v>3445</v>
      </c>
      <c r="H932" t="s">
        <v>2376</v>
      </c>
      <c r="I932" t="s">
        <v>2379</v>
      </c>
    </row>
    <row r="933" spans="1:9">
      <c r="A933" t="str">
        <f>"0007996 "</f>
        <v xml:space="preserve">0007996 </v>
      </c>
      <c r="B933" t="s">
        <v>3441</v>
      </c>
      <c r="C933" t="s">
        <v>2388</v>
      </c>
      <c r="D933" t="s">
        <v>3453</v>
      </c>
      <c r="E933">
        <v>1</v>
      </c>
      <c r="F933" t="s">
        <v>2390</v>
      </c>
      <c r="G933" t="s">
        <v>3445</v>
      </c>
      <c r="H933" t="s">
        <v>2388</v>
      </c>
      <c r="I933" t="s">
        <v>2391</v>
      </c>
    </row>
    <row r="934" spans="1:9">
      <c r="A934" t="str">
        <f>"0008005 "</f>
        <v xml:space="preserve">0008005 </v>
      </c>
      <c r="B934" t="s">
        <v>3441</v>
      </c>
      <c r="C934" t="s">
        <v>2396</v>
      </c>
      <c r="D934" t="s">
        <v>3454</v>
      </c>
      <c r="E934">
        <v>1</v>
      </c>
      <c r="F934" t="s">
        <v>2398</v>
      </c>
      <c r="G934" t="s">
        <v>3445</v>
      </c>
      <c r="H934" t="s">
        <v>2396</v>
      </c>
      <c r="I934" t="s">
        <v>2399</v>
      </c>
    </row>
    <row r="935" spans="1:9">
      <c r="A935" t="str">
        <f>"0008022 "</f>
        <v xml:space="preserve">0008022 </v>
      </c>
      <c r="B935" t="s">
        <v>3441</v>
      </c>
      <c r="C935" t="s">
        <v>3455</v>
      </c>
      <c r="D935" t="s">
        <v>3456</v>
      </c>
      <c r="E935">
        <v>2</v>
      </c>
      <c r="F935" t="s">
        <v>1811</v>
      </c>
      <c r="G935" t="s">
        <v>3445</v>
      </c>
      <c r="H935" t="s">
        <v>3455</v>
      </c>
      <c r="I935" t="s">
        <v>3457</v>
      </c>
    </row>
    <row r="936" spans="1:9">
      <c r="A936" t="str">
        <f>"0008030 "</f>
        <v xml:space="preserve">0008030 </v>
      </c>
      <c r="B936" t="s">
        <v>3441</v>
      </c>
      <c r="C936" t="s">
        <v>2412</v>
      </c>
      <c r="D936" t="s">
        <v>3458</v>
      </c>
      <c r="E936" t="s">
        <v>20</v>
      </c>
      <c r="F936" t="s">
        <v>2414</v>
      </c>
      <c r="G936" t="s">
        <v>3445</v>
      </c>
      <c r="H936" t="s">
        <v>2412</v>
      </c>
      <c r="I936" t="s">
        <v>2415</v>
      </c>
    </row>
    <row r="937" spans="1:9">
      <c r="A937" t="str">
        <f>"0008039 "</f>
        <v xml:space="preserve">0008039 </v>
      </c>
      <c r="B937" t="s">
        <v>3441</v>
      </c>
      <c r="C937" t="s">
        <v>2428</v>
      </c>
      <c r="D937" t="s">
        <v>3459</v>
      </c>
      <c r="E937">
        <v>5</v>
      </c>
      <c r="F937" t="s">
        <v>2430</v>
      </c>
      <c r="G937" t="s">
        <v>3445</v>
      </c>
      <c r="H937" t="s">
        <v>2428</v>
      </c>
      <c r="I937" t="s">
        <v>2431</v>
      </c>
    </row>
    <row r="938" spans="1:9">
      <c r="A938" t="str">
        <f>"0008041 "</f>
        <v xml:space="preserve">0008041 </v>
      </c>
      <c r="B938" t="s">
        <v>3441</v>
      </c>
      <c r="C938" t="s">
        <v>2432</v>
      </c>
      <c r="D938" t="s">
        <v>3460</v>
      </c>
      <c r="E938">
        <v>1</v>
      </c>
      <c r="F938" t="s">
        <v>2434</v>
      </c>
      <c r="G938" t="s">
        <v>3445</v>
      </c>
      <c r="H938" t="s">
        <v>2432</v>
      </c>
      <c r="I938" t="s">
        <v>2435</v>
      </c>
    </row>
    <row r="939" spans="1:9">
      <c r="A939" t="str">
        <f>"0203601 "</f>
        <v xml:space="preserve">0203601 </v>
      </c>
      <c r="B939" t="s">
        <v>3441</v>
      </c>
      <c r="C939" t="s">
        <v>3461</v>
      </c>
      <c r="D939" t="s">
        <v>3462</v>
      </c>
      <c r="E939">
        <v>1</v>
      </c>
      <c r="F939" t="s">
        <v>3232</v>
      </c>
      <c r="G939" t="s">
        <v>3445</v>
      </c>
      <c r="H939" t="s">
        <v>3461</v>
      </c>
      <c r="I939" t="s">
        <v>3463</v>
      </c>
    </row>
    <row r="940" spans="1:9">
      <c r="A940" t="str">
        <f>"0008069 "</f>
        <v xml:space="preserve">0008069 </v>
      </c>
      <c r="B940" t="s">
        <v>3441</v>
      </c>
      <c r="C940" t="s">
        <v>2456</v>
      </c>
      <c r="D940" t="s">
        <v>3464</v>
      </c>
      <c r="E940" t="s">
        <v>20</v>
      </c>
      <c r="F940" t="s">
        <v>2458</v>
      </c>
      <c r="G940" t="s">
        <v>3445</v>
      </c>
      <c r="H940" t="s">
        <v>2456</v>
      </c>
      <c r="I940" t="s">
        <v>2459</v>
      </c>
    </row>
    <row r="941" spans="1:9">
      <c r="A941" t="str">
        <f>"0008120 "</f>
        <v xml:space="preserve">0008120 </v>
      </c>
      <c r="B941" t="s">
        <v>3441</v>
      </c>
      <c r="C941" t="s">
        <v>2464</v>
      </c>
      <c r="D941" t="s">
        <v>3465</v>
      </c>
      <c r="E941">
        <v>5</v>
      </c>
      <c r="F941" t="s">
        <v>2466</v>
      </c>
      <c r="G941" t="s">
        <v>3445</v>
      </c>
      <c r="H941" t="s">
        <v>2464</v>
      </c>
      <c r="I941" t="s">
        <v>2467</v>
      </c>
    </row>
    <row r="942" spans="1:9">
      <c r="A942" t="str">
        <f>"0008127 "</f>
        <v xml:space="preserve">0008127 </v>
      </c>
      <c r="B942" t="s">
        <v>3441</v>
      </c>
      <c r="C942" t="s">
        <v>2471</v>
      </c>
      <c r="D942" t="s">
        <v>3466</v>
      </c>
      <c r="E942">
        <v>2</v>
      </c>
      <c r="F942" t="s">
        <v>2473</v>
      </c>
      <c r="G942" t="s">
        <v>3445</v>
      </c>
      <c r="H942" t="s">
        <v>2471</v>
      </c>
      <c r="I942" t="s">
        <v>1012</v>
      </c>
    </row>
    <row r="943" spans="1:9">
      <c r="A943" t="str">
        <f>"0008140 "</f>
        <v xml:space="preserve">0008140 </v>
      </c>
      <c r="B943" t="s">
        <v>3441</v>
      </c>
      <c r="C943" t="s">
        <v>2483</v>
      </c>
      <c r="D943" t="s">
        <v>3467</v>
      </c>
      <c r="E943">
        <v>1</v>
      </c>
      <c r="F943" t="s">
        <v>2485</v>
      </c>
      <c r="G943" t="s">
        <v>3445</v>
      </c>
      <c r="H943" t="s">
        <v>2483</v>
      </c>
      <c r="I943" t="s">
        <v>2486</v>
      </c>
    </row>
    <row r="944" spans="1:9">
      <c r="A944" t="str">
        <f>"0008157 "</f>
        <v xml:space="preserve">0008157 </v>
      </c>
      <c r="B944" t="s">
        <v>3441</v>
      </c>
      <c r="C944" t="s">
        <v>2490</v>
      </c>
      <c r="D944" t="s">
        <v>3468</v>
      </c>
      <c r="E944">
        <v>1</v>
      </c>
      <c r="F944" t="s">
        <v>2492</v>
      </c>
      <c r="G944" t="s">
        <v>3445</v>
      </c>
      <c r="H944" t="s">
        <v>2490</v>
      </c>
      <c r="I944" t="s">
        <v>2493</v>
      </c>
    </row>
    <row r="945" spans="1:9">
      <c r="A945" t="str">
        <f>"0008171 "</f>
        <v xml:space="preserve">0008171 </v>
      </c>
      <c r="B945" t="s">
        <v>3441</v>
      </c>
      <c r="C945" t="s">
        <v>2497</v>
      </c>
      <c r="D945" t="s">
        <v>3469</v>
      </c>
      <c r="E945">
        <v>1</v>
      </c>
      <c r="F945" t="s">
        <v>2499</v>
      </c>
      <c r="G945" t="s">
        <v>3445</v>
      </c>
      <c r="H945" t="s">
        <v>2497</v>
      </c>
      <c r="I945" t="s">
        <v>2500</v>
      </c>
    </row>
    <row r="946" spans="1:9">
      <c r="A946" t="str">
        <f>"0015308 "</f>
        <v xml:space="preserve">0015308 </v>
      </c>
      <c r="B946" t="s">
        <v>3441</v>
      </c>
      <c r="C946" t="s">
        <v>2501</v>
      </c>
      <c r="D946" t="s">
        <v>3470</v>
      </c>
      <c r="E946">
        <v>2</v>
      </c>
      <c r="F946" t="s">
        <v>2503</v>
      </c>
      <c r="G946" t="s">
        <v>3445</v>
      </c>
      <c r="H946" t="s">
        <v>2501</v>
      </c>
      <c r="I946" t="s">
        <v>2504</v>
      </c>
    </row>
    <row r="947" spans="1:9">
      <c r="A947" t="str">
        <f>"0008172 "</f>
        <v xml:space="preserve">0008172 </v>
      </c>
      <c r="B947" t="s">
        <v>3441</v>
      </c>
      <c r="C947" t="s">
        <v>2505</v>
      </c>
      <c r="D947" t="s">
        <v>3471</v>
      </c>
      <c r="E947">
        <v>1</v>
      </c>
      <c r="F947" t="s">
        <v>2507</v>
      </c>
      <c r="G947" t="s">
        <v>3445</v>
      </c>
      <c r="H947" t="s">
        <v>2505</v>
      </c>
      <c r="I947" t="s">
        <v>2508</v>
      </c>
    </row>
    <row r="948" spans="1:9">
      <c r="A948" t="str">
        <f>"0008189 "</f>
        <v xml:space="preserve">0008189 </v>
      </c>
      <c r="B948" t="s">
        <v>3441</v>
      </c>
      <c r="C948" t="s">
        <v>3472</v>
      </c>
      <c r="D948" t="s">
        <v>3473</v>
      </c>
      <c r="E948">
        <v>1</v>
      </c>
      <c r="F948" t="s">
        <v>3474</v>
      </c>
      <c r="G948" t="s">
        <v>3445</v>
      </c>
      <c r="H948" t="s">
        <v>3472</v>
      </c>
      <c r="I948" t="s">
        <v>3475</v>
      </c>
    </row>
    <row r="949" spans="1:9">
      <c r="A949" t="str">
        <f>"0008197 "</f>
        <v xml:space="preserve">0008197 </v>
      </c>
      <c r="B949" t="s">
        <v>3441</v>
      </c>
      <c r="C949" t="s">
        <v>2517</v>
      </c>
      <c r="D949" t="s">
        <v>3476</v>
      </c>
      <c r="E949">
        <v>1</v>
      </c>
      <c r="F949" t="s">
        <v>2519</v>
      </c>
      <c r="G949" t="s">
        <v>3445</v>
      </c>
      <c r="H949" t="s">
        <v>2517</v>
      </c>
      <c r="I949" t="s">
        <v>2520</v>
      </c>
    </row>
    <row r="950" spans="1:9">
      <c r="A950" t="str">
        <f>"0008204 "</f>
        <v xml:space="preserve">0008204 </v>
      </c>
      <c r="B950" t="s">
        <v>3441</v>
      </c>
      <c r="C950" t="s">
        <v>3477</v>
      </c>
      <c r="D950" t="s">
        <v>3478</v>
      </c>
      <c r="E950">
        <v>1</v>
      </c>
      <c r="F950" t="s">
        <v>3479</v>
      </c>
      <c r="G950" t="s">
        <v>3445</v>
      </c>
      <c r="H950" t="s">
        <v>3477</v>
      </c>
      <c r="I950" t="s">
        <v>3480</v>
      </c>
    </row>
    <row r="951" spans="1:9">
      <c r="A951" t="str">
        <f>"0039022 "</f>
        <v xml:space="preserve">0039022 </v>
      </c>
      <c r="B951" t="s">
        <v>3441</v>
      </c>
      <c r="C951" t="s">
        <v>3481</v>
      </c>
      <c r="D951" t="s">
        <v>3482</v>
      </c>
      <c r="E951">
        <v>1</v>
      </c>
      <c r="F951" t="s">
        <v>3483</v>
      </c>
      <c r="G951" t="s">
        <v>3445</v>
      </c>
      <c r="H951" t="s">
        <v>3481</v>
      </c>
      <c r="I951" t="s">
        <v>3484</v>
      </c>
    </row>
    <row r="952" spans="1:9">
      <c r="A952" t="str">
        <f>"0008209 "</f>
        <v xml:space="preserve">0008209 </v>
      </c>
      <c r="B952" t="s">
        <v>3441</v>
      </c>
      <c r="C952" t="s">
        <v>3485</v>
      </c>
      <c r="D952" t="s">
        <v>3486</v>
      </c>
      <c r="E952">
        <v>1</v>
      </c>
      <c r="F952" t="s">
        <v>3487</v>
      </c>
      <c r="G952" t="s">
        <v>3445</v>
      </c>
      <c r="H952" t="s">
        <v>3485</v>
      </c>
      <c r="I952" t="s">
        <v>3488</v>
      </c>
    </row>
    <row r="953" spans="1:9">
      <c r="A953" t="str">
        <f>"0008231 "</f>
        <v xml:space="preserve">0008231 </v>
      </c>
      <c r="B953" t="s">
        <v>3441</v>
      </c>
      <c r="C953" t="s">
        <v>2532</v>
      </c>
      <c r="D953" t="s">
        <v>3489</v>
      </c>
      <c r="E953">
        <v>1</v>
      </c>
      <c r="F953" t="s">
        <v>2534</v>
      </c>
      <c r="G953" t="s">
        <v>3445</v>
      </c>
      <c r="H953" t="s">
        <v>2532</v>
      </c>
      <c r="I953" t="s">
        <v>2535</v>
      </c>
    </row>
    <row r="954" spans="1:9">
      <c r="A954" t="str">
        <f>"0008277 "</f>
        <v xml:space="preserve">0008277 </v>
      </c>
      <c r="B954" t="s">
        <v>3441</v>
      </c>
      <c r="C954" t="s">
        <v>2544</v>
      </c>
      <c r="D954" t="s">
        <v>3490</v>
      </c>
      <c r="E954">
        <v>1</v>
      </c>
      <c r="F954" t="s">
        <v>2546</v>
      </c>
      <c r="G954" t="s">
        <v>3445</v>
      </c>
      <c r="H954" t="s">
        <v>2544</v>
      </c>
      <c r="I954" t="s">
        <v>2547</v>
      </c>
    </row>
    <row r="955" spans="1:9">
      <c r="A955" t="str">
        <f>"0008282 "</f>
        <v xml:space="preserve">0008282 </v>
      </c>
      <c r="B955" t="s">
        <v>3441</v>
      </c>
      <c r="C955" t="s">
        <v>2552</v>
      </c>
      <c r="D955" t="s">
        <v>3491</v>
      </c>
      <c r="E955">
        <v>1</v>
      </c>
      <c r="F955" t="s">
        <v>2554</v>
      </c>
      <c r="G955" t="s">
        <v>3445</v>
      </c>
      <c r="H955" t="s">
        <v>2552</v>
      </c>
      <c r="I955" t="s">
        <v>2555</v>
      </c>
    </row>
    <row r="956" spans="1:9">
      <c r="A956" t="str">
        <f>"0018769 "</f>
        <v xml:space="preserve">0018769 </v>
      </c>
      <c r="B956" t="s">
        <v>3441</v>
      </c>
      <c r="C956" t="s">
        <v>2556</v>
      </c>
      <c r="D956" t="s">
        <v>3492</v>
      </c>
      <c r="E956">
        <v>1</v>
      </c>
      <c r="F956" t="s">
        <v>2558</v>
      </c>
      <c r="G956" t="s">
        <v>3445</v>
      </c>
      <c r="H956" t="s">
        <v>2556</v>
      </c>
      <c r="I956" t="s">
        <v>2559</v>
      </c>
    </row>
    <row r="957" spans="1:9">
      <c r="A957" t="str">
        <f>"0018776 "</f>
        <v xml:space="preserve">0018776 </v>
      </c>
      <c r="B957" t="s">
        <v>3441</v>
      </c>
      <c r="C957" t="s">
        <v>3493</v>
      </c>
      <c r="D957" t="s">
        <v>3494</v>
      </c>
      <c r="E957">
        <v>2</v>
      </c>
      <c r="F957" t="s">
        <v>3495</v>
      </c>
      <c r="G957" t="s">
        <v>3445</v>
      </c>
      <c r="H957" t="s">
        <v>3493</v>
      </c>
      <c r="I957" t="s">
        <v>3496</v>
      </c>
    </row>
    <row r="958" spans="1:9">
      <c r="A958" t="str">
        <f>"0018781 "</f>
        <v xml:space="preserve">0018781 </v>
      </c>
      <c r="B958" t="s">
        <v>3441</v>
      </c>
      <c r="C958" t="s">
        <v>3497</v>
      </c>
      <c r="D958" t="s">
        <v>3498</v>
      </c>
      <c r="E958">
        <v>1</v>
      </c>
      <c r="F958" t="s">
        <v>3499</v>
      </c>
      <c r="G958" t="s">
        <v>3445</v>
      </c>
      <c r="H958" t="s">
        <v>3497</v>
      </c>
      <c r="I958" t="s">
        <v>3500</v>
      </c>
    </row>
    <row r="959" spans="1:9">
      <c r="A959" t="str">
        <f>"0008295 "</f>
        <v xml:space="preserve">0008295 </v>
      </c>
      <c r="B959" t="s">
        <v>3441</v>
      </c>
      <c r="C959" t="s">
        <v>2568</v>
      </c>
      <c r="D959" t="s">
        <v>3501</v>
      </c>
      <c r="E959" t="s">
        <v>20</v>
      </c>
      <c r="F959" t="s">
        <v>2570</v>
      </c>
      <c r="G959" t="s">
        <v>3445</v>
      </c>
      <c r="H959" t="s">
        <v>2568</v>
      </c>
      <c r="I959" t="s">
        <v>2571</v>
      </c>
    </row>
    <row r="960" spans="1:9">
      <c r="A960" t="str">
        <f>"0038789 "</f>
        <v xml:space="preserve">0038789 </v>
      </c>
      <c r="B960" t="s">
        <v>3441</v>
      </c>
      <c r="C960" t="s">
        <v>3502</v>
      </c>
      <c r="D960" t="s">
        <v>3503</v>
      </c>
      <c r="E960">
        <v>1</v>
      </c>
      <c r="F960" t="s">
        <v>3504</v>
      </c>
      <c r="G960" t="s">
        <v>3445</v>
      </c>
      <c r="H960" t="s">
        <v>3502</v>
      </c>
      <c r="I960" t="s">
        <v>3505</v>
      </c>
    </row>
    <row r="961" spans="1:9">
      <c r="A961" t="str">
        <f>"0008298 "</f>
        <v xml:space="preserve">0008298 </v>
      </c>
      <c r="B961" t="s">
        <v>3441</v>
      </c>
      <c r="C961" t="s">
        <v>3506</v>
      </c>
      <c r="D961" t="s">
        <v>3507</v>
      </c>
      <c r="E961">
        <v>2</v>
      </c>
      <c r="F961" t="s">
        <v>3508</v>
      </c>
      <c r="G961" t="s">
        <v>3445</v>
      </c>
      <c r="H961" t="s">
        <v>3506</v>
      </c>
      <c r="I961" t="s">
        <v>3509</v>
      </c>
    </row>
    <row r="962" spans="1:9">
      <c r="A962" t="str">
        <f>"0008302 "</f>
        <v xml:space="preserve">0008302 </v>
      </c>
      <c r="B962" t="s">
        <v>3441</v>
      </c>
      <c r="C962" t="s">
        <v>2572</v>
      </c>
      <c r="D962" t="s">
        <v>3510</v>
      </c>
      <c r="E962">
        <v>1</v>
      </c>
      <c r="F962" t="s">
        <v>2574</v>
      </c>
      <c r="G962" t="s">
        <v>3445</v>
      </c>
      <c r="H962" t="s">
        <v>2572</v>
      </c>
      <c r="I962" t="s">
        <v>2575</v>
      </c>
    </row>
    <row r="963" spans="1:9">
      <c r="A963" t="str">
        <f>"0008313 "</f>
        <v xml:space="preserve">0008313 </v>
      </c>
      <c r="B963" t="s">
        <v>3441</v>
      </c>
      <c r="C963" t="s">
        <v>2576</v>
      </c>
      <c r="D963" t="s">
        <v>3511</v>
      </c>
      <c r="E963">
        <v>1</v>
      </c>
      <c r="F963" t="s">
        <v>2578</v>
      </c>
      <c r="G963" t="s">
        <v>3445</v>
      </c>
      <c r="H963" t="s">
        <v>2576</v>
      </c>
      <c r="I963" t="s">
        <v>2579</v>
      </c>
    </row>
    <row r="964" spans="1:9">
      <c r="A964" t="str">
        <f>"0008327 "</f>
        <v xml:space="preserve">0008327 </v>
      </c>
      <c r="B964" t="s">
        <v>3441</v>
      </c>
      <c r="C964" t="s">
        <v>2580</v>
      </c>
      <c r="D964" t="s">
        <v>3512</v>
      </c>
      <c r="E964">
        <v>1</v>
      </c>
      <c r="F964" t="s">
        <v>2582</v>
      </c>
      <c r="G964" t="s">
        <v>3445</v>
      </c>
      <c r="H964" t="s">
        <v>2580</v>
      </c>
      <c r="I964" t="s">
        <v>2583</v>
      </c>
    </row>
    <row r="965" spans="1:9">
      <c r="A965" t="str">
        <f>"0008328 "</f>
        <v xml:space="preserve">0008328 </v>
      </c>
      <c r="B965" t="s">
        <v>3441</v>
      </c>
      <c r="C965" t="s">
        <v>2584</v>
      </c>
      <c r="D965" t="s">
        <v>3513</v>
      </c>
      <c r="E965">
        <v>1</v>
      </c>
      <c r="F965" t="s">
        <v>2586</v>
      </c>
      <c r="G965" t="s">
        <v>3445</v>
      </c>
      <c r="H965" t="s">
        <v>2584</v>
      </c>
      <c r="I965" t="s">
        <v>3514</v>
      </c>
    </row>
    <row r="966" spans="1:9">
      <c r="A966" t="str">
        <f>"0008330 "</f>
        <v xml:space="preserve">0008330 </v>
      </c>
      <c r="B966" t="s">
        <v>3441</v>
      </c>
      <c r="C966" t="s">
        <v>3515</v>
      </c>
      <c r="D966" t="s">
        <v>3516</v>
      </c>
      <c r="E966">
        <v>1</v>
      </c>
      <c r="F966" t="s">
        <v>3517</v>
      </c>
      <c r="G966" t="s">
        <v>3445</v>
      </c>
      <c r="H966" t="s">
        <v>3515</v>
      </c>
      <c r="I966" t="s">
        <v>3518</v>
      </c>
    </row>
    <row r="967" spans="1:9">
      <c r="A967" t="str">
        <f>"0008333 "</f>
        <v xml:space="preserve">0008333 </v>
      </c>
      <c r="B967" t="s">
        <v>3441</v>
      </c>
      <c r="C967" t="s">
        <v>2588</v>
      </c>
      <c r="D967" t="s">
        <v>3519</v>
      </c>
      <c r="E967">
        <v>3</v>
      </c>
      <c r="F967" t="s">
        <v>2590</v>
      </c>
      <c r="G967" t="s">
        <v>3445</v>
      </c>
      <c r="H967" t="s">
        <v>2588</v>
      </c>
      <c r="I967" t="s">
        <v>2591</v>
      </c>
    </row>
    <row r="968" spans="1:9">
      <c r="A968" t="str">
        <f>"0020361 "</f>
        <v xml:space="preserve">0020361 </v>
      </c>
      <c r="B968" t="s">
        <v>3441</v>
      </c>
      <c r="C968" t="s">
        <v>3520</v>
      </c>
      <c r="D968" t="s">
        <v>3521</v>
      </c>
      <c r="E968">
        <v>1</v>
      </c>
      <c r="F968" t="s">
        <v>3522</v>
      </c>
      <c r="G968" t="s">
        <v>3445</v>
      </c>
      <c r="H968" t="s">
        <v>3520</v>
      </c>
      <c r="I968" t="s">
        <v>3523</v>
      </c>
    </row>
    <row r="969" spans="1:9">
      <c r="A969" t="str">
        <f>"0008339 "</f>
        <v xml:space="preserve">0008339 </v>
      </c>
      <c r="B969" t="s">
        <v>3441</v>
      </c>
      <c r="C969" t="s">
        <v>2592</v>
      </c>
      <c r="D969" t="s">
        <v>3524</v>
      </c>
      <c r="E969">
        <v>4</v>
      </c>
      <c r="F969" t="s">
        <v>2594</v>
      </c>
      <c r="G969" t="s">
        <v>3445</v>
      </c>
      <c r="H969" t="s">
        <v>2592</v>
      </c>
      <c r="I969" t="s">
        <v>2595</v>
      </c>
    </row>
    <row r="970" spans="1:9">
      <c r="A970" t="str">
        <f>"0008341 "</f>
        <v xml:space="preserve">0008341 </v>
      </c>
      <c r="B970" t="s">
        <v>3441</v>
      </c>
      <c r="C970" t="s">
        <v>2596</v>
      </c>
      <c r="D970" t="s">
        <v>3525</v>
      </c>
      <c r="E970">
        <v>1</v>
      </c>
      <c r="F970" t="s">
        <v>2598</v>
      </c>
      <c r="G970" t="s">
        <v>3445</v>
      </c>
      <c r="H970" t="s">
        <v>2596</v>
      </c>
      <c r="I970" t="s">
        <v>3526</v>
      </c>
    </row>
    <row r="971" spans="1:9">
      <c r="A971" t="str">
        <f>"0008346 "</f>
        <v xml:space="preserve">0008346 </v>
      </c>
      <c r="B971" t="s">
        <v>3441</v>
      </c>
      <c r="C971" t="s">
        <v>2604</v>
      </c>
      <c r="D971" t="s">
        <v>3527</v>
      </c>
      <c r="E971">
        <v>2</v>
      </c>
      <c r="F971" t="s">
        <v>2606</v>
      </c>
      <c r="G971" t="s">
        <v>3445</v>
      </c>
      <c r="H971" t="s">
        <v>2604</v>
      </c>
      <c r="I971" t="s">
        <v>2607</v>
      </c>
    </row>
    <row r="972" spans="1:9">
      <c r="A972" t="str">
        <f>"0015312 "</f>
        <v xml:space="preserve">0015312 </v>
      </c>
      <c r="B972" t="s">
        <v>3441</v>
      </c>
      <c r="C972" t="s">
        <v>3528</v>
      </c>
      <c r="D972" t="s">
        <v>3529</v>
      </c>
      <c r="E972">
        <v>2</v>
      </c>
      <c r="F972" t="s">
        <v>3530</v>
      </c>
      <c r="G972" t="s">
        <v>3445</v>
      </c>
      <c r="H972" t="s">
        <v>3528</v>
      </c>
      <c r="I972" t="s">
        <v>3531</v>
      </c>
    </row>
    <row r="973" spans="1:9">
      <c r="A973" t="str">
        <f>"0162455 "</f>
        <v xml:space="preserve">0162455 </v>
      </c>
      <c r="B973" t="s">
        <v>3441</v>
      </c>
      <c r="C973" t="s">
        <v>3532</v>
      </c>
      <c r="D973" t="s">
        <v>3533</v>
      </c>
      <c r="E973">
        <v>1</v>
      </c>
      <c r="F973" t="s">
        <v>3534</v>
      </c>
      <c r="G973" t="s">
        <v>3445</v>
      </c>
      <c r="H973" t="s">
        <v>3532</v>
      </c>
      <c r="I973" t="s">
        <v>3535</v>
      </c>
    </row>
    <row r="974" spans="1:9">
      <c r="A974" t="str">
        <f>"0008371 "</f>
        <v xml:space="preserve">0008371 </v>
      </c>
      <c r="B974" t="s">
        <v>3441</v>
      </c>
      <c r="C974" t="s">
        <v>3536</v>
      </c>
      <c r="D974" t="s">
        <v>3537</v>
      </c>
      <c r="E974">
        <v>3</v>
      </c>
      <c r="F974" t="s">
        <v>3337</v>
      </c>
      <c r="G974" t="s">
        <v>3445</v>
      </c>
      <c r="H974" t="s">
        <v>3536</v>
      </c>
      <c r="I974" t="s">
        <v>3538</v>
      </c>
    </row>
    <row r="975" spans="1:9">
      <c r="A975" t="str">
        <f>"0008374 "</f>
        <v xml:space="preserve">0008374 </v>
      </c>
      <c r="B975" t="s">
        <v>3441</v>
      </c>
      <c r="C975" t="s">
        <v>2636</v>
      </c>
      <c r="D975" t="s">
        <v>3539</v>
      </c>
      <c r="E975">
        <v>2</v>
      </c>
      <c r="F975" t="s">
        <v>2638</v>
      </c>
      <c r="G975" t="s">
        <v>3445</v>
      </c>
      <c r="H975" t="s">
        <v>2636</v>
      </c>
      <c r="I975" t="s">
        <v>2639</v>
      </c>
    </row>
    <row r="976" spans="1:9">
      <c r="A976" t="str">
        <f>"0008376 "</f>
        <v xml:space="preserve">0008376 </v>
      </c>
      <c r="B976" t="s">
        <v>3441</v>
      </c>
      <c r="C976" t="s">
        <v>2640</v>
      </c>
      <c r="D976" t="s">
        <v>3540</v>
      </c>
      <c r="E976">
        <v>3</v>
      </c>
      <c r="F976" t="s">
        <v>2642</v>
      </c>
      <c r="G976" t="s">
        <v>3445</v>
      </c>
      <c r="H976" t="s">
        <v>2640</v>
      </c>
      <c r="I976" t="s">
        <v>2643</v>
      </c>
    </row>
    <row r="977" spans="1:9">
      <c r="A977" t="str">
        <f>"0008381 "</f>
        <v xml:space="preserve">0008381 </v>
      </c>
      <c r="B977" t="s">
        <v>3441</v>
      </c>
      <c r="C977" t="s">
        <v>3541</v>
      </c>
      <c r="D977" t="s">
        <v>3542</v>
      </c>
      <c r="E977">
        <v>1</v>
      </c>
      <c r="F977" t="s">
        <v>3543</v>
      </c>
      <c r="G977" t="s">
        <v>3445</v>
      </c>
      <c r="H977" t="s">
        <v>3541</v>
      </c>
      <c r="I977" t="s">
        <v>3544</v>
      </c>
    </row>
    <row r="978" spans="1:9">
      <c r="A978" t="str">
        <f>"0008382 "</f>
        <v xml:space="preserve">0008382 </v>
      </c>
      <c r="B978" t="s">
        <v>3441</v>
      </c>
      <c r="C978" t="s">
        <v>3545</v>
      </c>
      <c r="D978" t="s">
        <v>3546</v>
      </c>
      <c r="E978">
        <v>1</v>
      </c>
      <c r="F978" t="s">
        <v>3547</v>
      </c>
      <c r="G978" t="s">
        <v>3445</v>
      </c>
      <c r="H978" t="s">
        <v>3545</v>
      </c>
      <c r="I978" t="s">
        <v>3548</v>
      </c>
    </row>
    <row r="979" spans="1:9">
      <c r="A979" t="str">
        <f>"0008383 "</f>
        <v xml:space="preserve">0008383 </v>
      </c>
      <c r="B979" t="s">
        <v>3441</v>
      </c>
      <c r="C979" t="s">
        <v>2644</v>
      </c>
      <c r="D979" t="s">
        <v>3549</v>
      </c>
      <c r="E979">
        <v>1</v>
      </c>
      <c r="F979" t="s">
        <v>2646</v>
      </c>
      <c r="G979" t="s">
        <v>3445</v>
      </c>
      <c r="H979" t="s">
        <v>2644</v>
      </c>
      <c r="I979" t="s">
        <v>2647</v>
      </c>
    </row>
    <row r="980" spans="1:9">
      <c r="A980" t="str">
        <f>"0008386 "</f>
        <v xml:space="preserve">0008386 </v>
      </c>
      <c r="B980" t="s">
        <v>3441</v>
      </c>
      <c r="C980" t="s">
        <v>2648</v>
      </c>
      <c r="D980" t="s">
        <v>3550</v>
      </c>
      <c r="E980">
        <v>1</v>
      </c>
      <c r="F980" t="s">
        <v>2650</v>
      </c>
      <c r="G980" t="s">
        <v>3445</v>
      </c>
      <c r="H980" t="s">
        <v>2648</v>
      </c>
      <c r="I980" t="s">
        <v>2651</v>
      </c>
    </row>
    <row r="981" spans="1:9">
      <c r="A981" t="str">
        <f>"0008387 "</f>
        <v xml:space="preserve">0008387 </v>
      </c>
      <c r="B981" t="s">
        <v>3441</v>
      </c>
      <c r="C981" t="s">
        <v>2652</v>
      </c>
      <c r="D981" t="s">
        <v>3551</v>
      </c>
      <c r="E981">
        <v>2</v>
      </c>
      <c r="F981" t="s">
        <v>2654</v>
      </c>
      <c r="G981" t="s">
        <v>3445</v>
      </c>
      <c r="H981" t="s">
        <v>2652</v>
      </c>
      <c r="I981" t="s">
        <v>2655</v>
      </c>
    </row>
    <row r="982" spans="1:9">
      <c r="A982" t="str">
        <f>"0008400 "</f>
        <v xml:space="preserve">0008400 </v>
      </c>
      <c r="B982" t="s">
        <v>3441</v>
      </c>
      <c r="C982" t="s">
        <v>2656</v>
      </c>
      <c r="D982" t="s">
        <v>3552</v>
      </c>
      <c r="E982">
        <v>1</v>
      </c>
      <c r="F982" t="s">
        <v>2658</v>
      </c>
      <c r="G982" t="s">
        <v>3445</v>
      </c>
      <c r="H982" t="s">
        <v>2656</v>
      </c>
      <c r="I982" t="s">
        <v>2659</v>
      </c>
    </row>
    <row r="983" spans="1:9">
      <c r="A983" t="str">
        <f>"0008402 "</f>
        <v xml:space="preserve">0008402 </v>
      </c>
      <c r="B983" t="s">
        <v>3441</v>
      </c>
      <c r="C983" t="s">
        <v>3553</v>
      </c>
      <c r="D983" t="s">
        <v>3554</v>
      </c>
      <c r="E983">
        <v>2</v>
      </c>
      <c r="F983" t="s">
        <v>3555</v>
      </c>
      <c r="G983" t="s">
        <v>3445</v>
      </c>
      <c r="H983" t="s">
        <v>3553</v>
      </c>
      <c r="I983" t="s">
        <v>3556</v>
      </c>
    </row>
    <row r="984" spans="1:9">
      <c r="A984" t="str">
        <f>"0008419 "</f>
        <v xml:space="preserve">0008419 </v>
      </c>
      <c r="B984" t="s">
        <v>3441</v>
      </c>
      <c r="C984" t="s">
        <v>2660</v>
      </c>
      <c r="D984" t="s">
        <v>3557</v>
      </c>
      <c r="E984">
        <v>1</v>
      </c>
      <c r="F984" t="s">
        <v>2662</v>
      </c>
      <c r="G984" t="s">
        <v>3445</v>
      </c>
      <c r="H984" t="s">
        <v>2660</v>
      </c>
      <c r="I984" t="s">
        <v>2663</v>
      </c>
    </row>
    <row r="985" spans="1:9">
      <c r="A985" t="str">
        <f>"0008428 "</f>
        <v xml:space="preserve">0008428 </v>
      </c>
      <c r="B985" t="s">
        <v>3441</v>
      </c>
      <c r="C985" t="s">
        <v>2664</v>
      </c>
      <c r="D985" t="s">
        <v>3558</v>
      </c>
      <c r="E985">
        <v>1</v>
      </c>
      <c r="F985" t="s">
        <v>2666</v>
      </c>
      <c r="G985" t="s">
        <v>3445</v>
      </c>
      <c r="H985" t="s">
        <v>2664</v>
      </c>
      <c r="I985" t="s">
        <v>2667</v>
      </c>
    </row>
    <row r="986" spans="1:9">
      <c r="A986" t="str">
        <f>"0008429 "</f>
        <v xml:space="preserve">0008429 </v>
      </c>
      <c r="B986" t="s">
        <v>3441</v>
      </c>
      <c r="C986" t="s">
        <v>2668</v>
      </c>
      <c r="D986" t="s">
        <v>3559</v>
      </c>
      <c r="E986">
        <v>1</v>
      </c>
      <c r="F986" t="s">
        <v>2670</v>
      </c>
      <c r="G986" t="s">
        <v>3445</v>
      </c>
      <c r="H986" t="s">
        <v>2668</v>
      </c>
      <c r="I986" t="s">
        <v>2671</v>
      </c>
    </row>
    <row r="987" spans="1:9">
      <c r="A987" t="str">
        <f>"0008443 "</f>
        <v xml:space="preserve">0008443 </v>
      </c>
      <c r="B987" t="s">
        <v>3441</v>
      </c>
      <c r="C987" t="s">
        <v>2672</v>
      </c>
      <c r="D987" t="s">
        <v>3560</v>
      </c>
      <c r="E987">
        <v>2</v>
      </c>
      <c r="F987" t="s">
        <v>2666</v>
      </c>
      <c r="G987" t="s">
        <v>3445</v>
      </c>
      <c r="H987" t="s">
        <v>2672</v>
      </c>
      <c r="I987" t="s">
        <v>2674</v>
      </c>
    </row>
    <row r="988" spans="1:9">
      <c r="A988" t="str">
        <f>"0008462 "</f>
        <v xml:space="preserve">0008462 </v>
      </c>
      <c r="B988" t="s">
        <v>3441</v>
      </c>
      <c r="C988" t="s">
        <v>2679</v>
      </c>
      <c r="D988" t="s">
        <v>3561</v>
      </c>
      <c r="E988">
        <v>1</v>
      </c>
      <c r="F988" t="s">
        <v>2681</v>
      </c>
      <c r="G988" t="s">
        <v>3445</v>
      </c>
      <c r="H988" t="s">
        <v>2679</v>
      </c>
      <c r="I988" t="s">
        <v>2682</v>
      </c>
    </row>
    <row r="989" spans="1:9">
      <c r="A989" t="str">
        <f>"0008486 "</f>
        <v xml:space="preserve">0008486 </v>
      </c>
      <c r="B989" t="s">
        <v>3441</v>
      </c>
      <c r="C989" t="s">
        <v>2691</v>
      </c>
      <c r="D989" t="s">
        <v>3562</v>
      </c>
      <c r="E989">
        <v>1</v>
      </c>
      <c r="F989" t="s">
        <v>2693</v>
      </c>
      <c r="G989" t="s">
        <v>3445</v>
      </c>
      <c r="H989" t="s">
        <v>2691</v>
      </c>
      <c r="I989" t="s">
        <v>3563</v>
      </c>
    </row>
    <row r="990" spans="1:9">
      <c r="A990" t="str">
        <f>"0008488 "</f>
        <v xml:space="preserve">0008488 </v>
      </c>
      <c r="B990" t="s">
        <v>3441</v>
      </c>
      <c r="C990" t="s">
        <v>2695</v>
      </c>
      <c r="D990" t="s">
        <v>3564</v>
      </c>
      <c r="E990">
        <v>1</v>
      </c>
      <c r="F990" t="s">
        <v>2697</v>
      </c>
      <c r="G990" t="s">
        <v>3445</v>
      </c>
      <c r="H990" t="s">
        <v>2695</v>
      </c>
      <c r="I990" t="s">
        <v>2698</v>
      </c>
    </row>
    <row r="991" spans="1:9">
      <c r="A991" t="str">
        <f>"0008489 "</f>
        <v xml:space="preserve">0008489 </v>
      </c>
      <c r="B991" t="s">
        <v>3441</v>
      </c>
      <c r="C991" t="s">
        <v>2699</v>
      </c>
      <c r="D991" t="s">
        <v>3565</v>
      </c>
      <c r="E991">
        <v>1</v>
      </c>
      <c r="F991" t="s">
        <v>2701</v>
      </c>
      <c r="G991" t="s">
        <v>3445</v>
      </c>
      <c r="H991" t="s">
        <v>2699</v>
      </c>
      <c r="I991" t="s">
        <v>2702</v>
      </c>
    </row>
    <row r="992" spans="1:9">
      <c r="A992" t="str">
        <f>"0008492 "</f>
        <v xml:space="preserve">0008492 </v>
      </c>
      <c r="B992" t="s">
        <v>3441</v>
      </c>
      <c r="C992" t="s">
        <v>2703</v>
      </c>
      <c r="D992" t="s">
        <v>3566</v>
      </c>
      <c r="E992">
        <v>1</v>
      </c>
      <c r="F992" t="s">
        <v>2705</v>
      </c>
      <c r="G992" t="s">
        <v>3445</v>
      </c>
      <c r="H992" t="s">
        <v>2703</v>
      </c>
      <c r="I992" t="s">
        <v>2706</v>
      </c>
    </row>
    <row r="993" spans="1:9">
      <c r="A993" t="str">
        <f>"0008493 "</f>
        <v xml:space="preserve">0008493 </v>
      </c>
      <c r="B993" t="s">
        <v>3441</v>
      </c>
      <c r="C993" t="s">
        <v>2707</v>
      </c>
      <c r="D993" t="s">
        <v>3567</v>
      </c>
      <c r="E993">
        <v>2</v>
      </c>
      <c r="F993" t="s">
        <v>2709</v>
      </c>
      <c r="G993" t="s">
        <v>3445</v>
      </c>
      <c r="H993" t="s">
        <v>2707</v>
      </c>
      <c r="I993" t="s">
        <v>2710</v>
      </c>
    </row>
    <row r="994" spans="1:9">
      <c r="A994" t="str">
        <f>"0008498 "</f>
        <v xml:space="preserve">0008498 </v>
      </c>
      <c r="B994" t="s">
        <v>3441</v>
      </c>
      <c r="C994" t="s">
        <v>3568</v>
      </c>
      <c r="D994" t="s">
        <v>3569</v>
      </c>
      <c r="E994">
        <v>1</v>
      </c>
      <c r="F994" t="s">
        <v>3570</v>
      </c>
      <c r="G994" t="s">
        <v>3445</v>
      </c>
      <c r="H994" t="s">
        <v>3568</v>
      </c>
      <c r="I994" t="s">
        <v>697</v>
      </c>
    </row>
    <row r="995" spans="1:9">
      <c r="A995" t="str">
        <f>"0015313 "</f>
        <v xml:space="preserve">0015313 </v>
      </c>
      <c r="B995" t="s">
        <v>3441</v>
      </c>
      <c r="C995" t="s">
        <v>2711</v>
      </c>
      <c r="D995" t="s">
        <v>3571</v>
      </c>
      <c r="E995">
        <v>1</v>
      </c>
      <c r="F995" t="s">
        <v>2713</v>
      </c>
      <c r="G995" t="s">
        <v>3445</v>
      </c>
      <c r="H995" t="s">
        <v>2711</v>
      </c>
      <c r="I995" t="s">
        <v>2714</v>
      </c>
    </row>
    <row r="996" spans="1:9">
      <c r="A996" t="str">
        <f>"0008536 "</f>
        <v xml:space="preserve">0008536 </v>
      </c>
      <c r="B996" t="s">
        <v>3441</v>
      </c>
      <c r="C996" t="s">
        <v>2715</v>
      </c>
      <c r="D996" t="s">
        <v>3572</v>
      </c>
      <c r="E996">
        <v>2</v>
      </c>
      <c r="F996" t="s">
        <v>2717</v>
      </c>
      <c r="G996" t="s">
        <v>3445</v>
      </c>
      <c r="H996" t="s">
        <v>2715</v>
      </c>
      <c r="I996" t="s">
        <v>2718</v>
      </c>
    </row>
    <row r="997" spans="1:9">
      <c r="A997" t="str">
        <f>"0008537 "</f>
        <v xml:space="preserve">0008537 </v>
      </c>
      <c r="B997" t="s">
        <v>3441</v>
      </c>
      <c r="C997" t="s">
        <v>2719</v>
      </c>
      <c r="D997" t="s">
        <v>3573</v>
      </c>
      <c r="E997">
        <v>1</v>
      </c>
      <c r="F997" t="s">
        <v>2721</v>
      </c>
      <c r="G997" t="s">
        <v>3445</v>
      </c>
      <c r="H997" t="s">
        <v>2719</v>
      </c>
      <c r="I997" t="s">
        <v>2722</v>
      </c>
    </row>
    <row r="998" spans="1:9">
      <c r="A998" t="str">
        <f>"0015314 "</f>
        <v xml:space="preserve">0015314 </v>
      </c>
      <c r="B998" t="s">
        <v>3441</v>
      </c>
      <c r="C998" t="s">
        <v>3574</v>
      </c>
      <c r="D998" t="s">
        <v>3575</v>
      </c>
      <c r="E998">
        <v>1</v>
      </c>
      <c r="F998" t="s">
        <v>3576</v>
      </c>
      <c r="G998" t="s">
        <v>3445</v>
      </c>
      <c r="H998" t="s">
        <v>3574</v>
      </c>
      <c r="I998" t="s">
        <v>3577</v>
      </c>
    </row>
    <row r="999" spans="1:9">
      <c r="A999" t="str">
        <f>"0008574 "</f>
        <v xml:space="preserve">0008574 </v>
      </c>
      <c r="B999" t="s">
        <v>3441</v>
      </c>
      <c r="C999" t="s">
        <v>3578</v>
      </c>
      <c r="D999" t="s">
        <v>3579</v>
      </c>
      <c r="E999">
        <v>1</v>
      </c>
      <c r="F999" t="s">
        <v>2642</v>
      </c>
      <c r="G999" t="s">
        <v>3445</v>
      </c>
      <c r="H999" t="s">
        <v>3578</v>
      </c>
      <c r="I999" t="s">
        <v>3580</v>
      </c>
    </row>
    <row r="1000" spans="1:9">
      <c r="A1000" t="str">
        <f>"0008632 "</f>
        <v xml:space="preserve">0008632 </v>
      </c>
      <c r="B1000" t="s">
        <v>3441</v>
      </c>
      <c r="C1000" t="s">
        <v>2738</v>
      </c>
      <c r="D1000" t="s">
        <v>3581</v>
      </c>
      <c r="E1000">
        <v>3</v>
      </c>
      <c r="F1000" t="s">
        <v>2740</v>
      </c>
      <c r="G1000" t="s">
        <v>3445</v>
      </c>
      <c r="H1000" t="s">
        <v>2738</v>
      </c>
      <c r="I1000" t="s">
        <v>2741</v>
      </c>
    </row>
    <row r="1001" spans="1:9">
      <c r="A1001" t="str">
        <f>"0008633 "</f>
        <v xml:space="preserve">0008633 </v>
      </c>
      <c r="B1001" t="s">
        <v>3441</v>
      </c>
      <c r="C1001" t="s">
        <v>2742</v>
      </c>
      <c r="D1001" t="s">
        <v>3582</v>
      </c>
      <c r="E1001">
        <v>1</v>
      </c>
      <c r="F1001" t="s">
        <v>2744</v>
      </c>
      <c r="G1001" t="s">
        <v>3445</v>
      </c>
      <c r="H1001" t="s">
        <v>2742</v>
      </c>
      <c r="I1001" t="s">
        <v>2745</v>
      </c>
    </row>
    <row r="1002" spans="1:9">
      <c r="A1002" t="str">
        <f>"0008642 "</f>
        <v xml:space="preserve">0008642 </v>
      </c>
      <c r="B1002" t="s">
        <v>3441</v>
      </c>
      <c r="C1002" t="s">
        <v>2746</v>
      </c>
      <c r="D1002" t="s">
        <v>3583</v>
      </c>
      <c r="E1002">
        <v>1</v>
      </c>
      <c r="F1002" t="s">
        <v>2748</v>
      </c>
      <c r="G1002" t="s">
        <v>3445</v>
      </c>
      <c r="H1002" t="s">
        <v>2746</v>
      </c>
      <c r="I1002" t="s">
        <v>2749</v>
      </c>
    </row>
    <row r="1003" spans="1:9">
      <c r="A1003" t="str">
        <f>"0008646 "</f>
        <v xml:space="preserve">0008646 </v>
      </c>
      <c r="B1003" t="s">
        <v>3441</v>
      </c>
      <c r="C1003" t="s">
        <v>3584</v>
      </c>
      <c r="D1003" t="s">
        <v>3585</v>
      </c>
      <c r="E1003">
        <v>1</v>
      </c>
      <c r="F1003" t="s">
        <v>3586</v>
      </c>
      <c r="G1003" t="s">
        <v>3445</v>
      </c>
      <c r="H1003" t="s">
        <v>3584</v>
      </c>
      <c r="I1003" t="s">
        <v>3587</v>
      </c>
    </row>
    <row r="1004" spans="1:9">
      <c r="A1004" t="str">
        <f>"0008672 "</f>
        <v xml:space="preserve">0008672 </v>
      </c>
      <c r="B1004" t="s">
        <v>3441</v>
      </c>
      <c r="C1004" t="s">
        <v>3588</v>
      </c>
      <c r="D1004" t="s">
        <v>3589</v>
      </c>
      <c r="E1004">
        <v>1</v>
      </c>
      <c r="F1004" t="s">
        <v>2646</v>
      </c>
      <c r="G1004" t="s">
        <v>3445</v>
      </c>
      <c r="H1004" t="s">
        <v>3588</v>
      </c>
      <c r="I1004" t="s">
        <v>530</v>
      </c>
    </row>
    <row r="1005" spans="1:9">
      <c r="A1005" t="str">
        <f>"0008741 "</f>
        <v xml:space="preserve">0008741 </v>
      </c>
      <c r="B1005" t="s">
        <v>3441</v>
      </c>
      <c r="C1005" t="s">
        <v>3590</v>
      </c>
      <c r="D1005" t="s">
        <v>3591</v>
      </c>
      <c r="E1005">
        <v>1</v>
      </c>
      <c r="F1005" t="s">
        <v>3592</v>
      </c>
      <c r="G1005" t="s">
        <v>3445</v>
      </c>
      <c r="H1005" t="s">
        <v>3590</v>
      </c>
      <c r="I1005" t="s">
        <v>3593</v>
      </c>
    </row>
    <row r="1006" spans="1:9">
      <c r="A1006" t="str">
        <f>"0008748 "</f>
        <v xml:space="preserve">0008748 </v>
      </c>
      <c r="B1006" t="s">
        <v>3441</v>
      </c>
      <c r="C1006" t="s">
        <v>2774</v>
      </c>
      <c r="D1006" t="s">
        <v>3594</v>
      </c>
      <c r="E1006">
        <v>1</v>
      </c>
      <c r="F1006" t="s">
        <v>2776</v>
      </c>
      <c r="G1006" t="s">
        <v>3445</v>
      </c>
      <c r="H1006" t="s">
        <v>2774</v>
      </c>
      <c r="I1006" t="s">
        <v>2777</v>
      </c>
    </row>
    <row r="1007" spans="1:9">
      <c r="A1007" t="str">
        <f>"0008775 "</f>
        <v xml:space="preserve">0008775 </v>
      </c>
      <c r="B1007" t="s">
        <v>3441</v>
      </c>
      <c r="C1007" t="s">
        <v>3595</v>
      </c>
      <c r="D1007" t="s">
        <v>3596</v>
      </c>
      <c r="E1007">
        <v>1</v>
      </c>
      <c r="F1007" t="s">
        <v>3597</v>
      </c>
      <c r="G1007" t="s">
        <v>3445</v>
      </c>
      <c r="H1007" t="s">
        <v>3595</v>
      </c>
      <c r="I1007" t="s">
        <v>3598</v>
      </c>
    </row>
    <row r="1008" spans="1:9">
      <c r="A1008" t="str">
        <f>"0008804 "</f>
        <v xml:space="preserve">0008804 </v>
      </c>
      <c r="B1008" t="s">
        <v>3441</v>
      </c>
      <c r="C1008" t="s">
        <v>2786</v>
      </c>
      <c r="D1008" t="s">
        <v>3599</v>
      </c>
      <c r="E1008" t="s">
        <v>20</v>
      </c>
      <c r="F1008" t="s">
        <v>2788</v>
      </c>
      <c r="G1008" t="s">
        <v>3445</v>
      </c>
      <c r="H1008" t="s">
        <v>2786</v>
      </c>
      <c r="I1008" t="s">
        <v>402</v>
      </c>
    </row>
    <row r="1009" spans="1:9">
      <c r="A1009" t="str">
        <f>"0008828 "</f>
        <v xml:space="preserve">0008828 </v>
      </c>
      <c r="B1009" t="s">
        <v>3441</v>
      </c>
      <c r="C1009" t="s">
        <v>2793</v>
      </c>
      <c r="D1009" t="s">
        <v>3600</v>
      </c>
      <c r="E1009">
        <v>1</v>
      </c>
      <c r="F1009" t="s">
        <v>2795</v>
      </c>
      <c r="G1009" t="s">
        <v>3445</v>
      </c>
      <c r="H1009" t="s">
        <v>2793</v>
      </c>
      <c r="I1009" t="s">
        <v>2796</v>
      </c>
    </row>
    <row r="1010" spans="1:9">
      <c r="A1010" t="str">
        <f>"0008837 "</f>
        <v xml:space="preserve">0008837 </v>
      </c>
      <c r="B1010" t="s">
        <v>3441</v>
      </c>
      <c r="C1010" t="s">
        <v>3601</v>
      </c>
      <c r="D1010" t="s">
        <v>3602</v>
      </c>
      <c r="E1010">
        <v>1</v>
      </c>
      <c r="F1010" t="s">
        <v>3603</v>
      </c>
      <c r="G1010" t="s">
        <v>3445</v>
      </c>
      <c r="H1010" t="s">
        <v>3601</v>
      </c>
      <c r="I1010" t="s">
        <v>3604</v>
      </c>
    </row>
    <row r="1011" spans="1:9">
      <c r="A1011" t="str">
        <f>"0008852 "</f>
        <v xml:space="preserve">0008852 </v>
      </c>
      <c r="B1011" t="s">
        <v>3441</v>
      </c>
      <c r="C1011" t="s">
        <v>2797</v>
      </c>
      <c r="D1011" t="s">
        <v>3605</v>
      </c>
      <c r="E1011">
        <v>1</v>
      </c>
      <c r="F1011" t="s">
        <v>2670</v>
      </c>
      <c r="G1011" t="s">
        <v>3445</v>
      </c>
      <c r="H1011" t="s">
        <v>2797</v>
      </c>
      <c r="I1011" t="s">
        <v>2799</v>
      </c>
    </row>
    <row r="1012" spans="1:9">
      <c r="A1012" t="str">
        <f>"0008891 "</f>
        <v xml:space="preserve">0008891 </v>
      </c>
      <c r="B1012" t="s">
        <v>3441</v>
      </c>
      <c r="C1012" t="s">
        <v>3606</v>
      </c>
      <c r="D1012" t="s">
        <v>3607</v>
      </c>
      <c r="E1012">
        <v>1</v>
      </c>
      <c r="F1012" t="s">
        <v>3608</v>
      </c>
      <c r="G1012" t="s">
        <v>3445</v>
      </c>
      <c r="H1012" t="s">
        <v>3606</v>
      </c>
      <c r="I1012" t="s">
        <v>3609</v>
      </c>
    </row>
    <row r="1013" spans="1:9">
      <c r="A1013" t="str">
        <f>"0008907 "</f>
        <v xml:space="preserve">0008907 </v>
      </c>
      <c r="B1013" t="s">
        <v>3441</v>
      </c>
      <c r="C1013" t="s">
        <v>2808</v>
      </c>
      <c r="D1013" t="s">
        <v>3610</v>
      </c>
      <c r="E1013">
        <v>3</v>
      </c>
      <c r="F1013" t="s">
        <v>2810</v>
      </c>
      <c r="G1013" t="s">
        <v>3445</v>
      </c>
      <c r="H1013" t="s">
        <v>2808</v>
      </c>
      <c r="I1013" t="s">
        <v>2811</v>
      </c>
    </row>
    <row r="1014" spans="1:9">
      <c r="A1014" t="str">
        <f>"0008915 "</f>
        <v xml:space="preserve">0008915 </v>
      </c>
      <c r="B1014" t="s">
        <v>3441</v>
      </c>
      <c r="C1014" t="s">
        <v>2812</v>
      </c>
      <c r="D1014" t="s">
        <v>3611</v>
      </c>
      <c r="E1014">
        <v>1</v>
      </c>
      <c r="F1014" t="s">
        <v>2814</v>
      </c>
      <c r="G1014" t="s">
        <v>3445</v>
      </c>
      <c r="H1014" t="s">
        <v>2812</v>
      </c>
      <c r="I1014" t="s">
        <v>2815</v>
      </c>
    </row>
    <row r="1015" spans="1:9">
      <c r="A1015" t="str">
        <f>"0008921 "</f>
        <v xml:space="preserve">0008921 </v>
      </c>
      <c r="B1015" t="s">
        <v>3441</v>
      </c>
      <c r="C1015" t="s">
        <v>2816</v>
      </c>
      <c r="D1015" t="s">
        <v>3612</v>
      </c>
      <c r="E1015">
        <v>2</v>
      </c>
      <c r="F1015" t="s">
        <v>2374</v>
      </c>
      <c r="G1015" t="s">
        <v>3445</v>
      </c>
      <c r="H1015" t="s">
        <v>2816</v>
      </c>
      <c r="I1015" t="s">
        <v>2818</v>
      </c>
    </row>
    <row r="1016" spans="1:9">
      <c r="A1016" t="str">
        <f>"0008922 "</f>
        <v xml:space="preserve">0008922 </v>
      </c>
      <c r="B1016" t="s">
        <v>3441</v>
      </c>
      <c r="C1016" t="s">
        <v>3613</v>
      </c>
      <c r="D1016" t="s">
        <v>3614</v>
      </c>
      <c r="E1016">
        <v>1</v>
      </c>
      <c r="F1016" t="s">
        <v>3615</v>
      </c>
      <c r="G1016" t="s">
        <v>3445</v>
      </c>
      <c r="H1016" t="s">
        <v>3613</v>
      </c>
      <c r="I1016" t="s">
        <v>3616</v>
      </c>
    </row>
    <row r="1017" spans="1:9">
      <c r="A1017" t="str">
        <f>"0008966 "</f>
        <v xml:space="preserve">0008966 </v>
      </c>
      <c r="B1017" t="s">
        <v>3441</v>
      </c>
      <c r="C1017" t="s">
        <v>3617</v>
      </c>
      <c r="D1017" t="s">
        <v>3618</v>
      </c>
      <c r="E1017">
        <v>1</v>
      </c>
      <c r="F1017" t="s">
        <v>3619</v>
      </c>
      <c r="G1017" t="s">
        <v>3445</v>
      </c>
      <c r="H1017" t="s">
        <v>3617</v>
      </c>
      <c r="I1017" t="s">
        <v>3620</v>
      </c>
    </row>
    <row r="1018" spans="1:9">
      <c r="A1018" t="str">
        <f>"0008990 "</f>
        <v xml:space="preserve">0008990 </v>
      </c>
      <c r="B1018" t="s">
        <v>3441</v>
      </c>
      <c r="C1018" t="s">
        <v>2822</v>
      </c>
      <c r="D1018" t="s">
        <v>3621</v>
      </c>
      <c r="E1018">
        <v>2</v>
      </c>
      <c r="F1018" t="s">
        <v>2824</v>
      </c>
      <c r="G1018" t="s">
        <v>3445</v>
      </c>
      <c r="H1018" t="s">
        <v>2822</v>
      </c>
      <c r="I1018" t="s">
        <v>2825</v>
      </c>
    </row>
    <row r="1019" spans="1:9">
      <c r="A1019" t="str">
        <f>"0020186 "</f>
        <v xml:space="preserve">0020186 </v>
      </c>
      <c r="B1019" t="s">
        <v>3441</v>
      </c>
      <c r="C1019" t="s">
        <v>2830</v>
      </c>
      <c r="D1019" t="s">
        <v>3622</v>
      </c>
      <c r="E1019">
        <v>1</v>
      </c>
      <c r="F1019" t="s">
        <v>2802</v>
      </c>
      <c r="G1019" t="s">
        <v>3445</v>
      </c>
      <c r="H1019" t="s">
        <v>2830</v>
      </c>
      <c r="I1019" t="s">
        <v>2832</v>
      </c>
    </row>
    <row r="1020" spans="1:9">
      <c r="A1020" t="str">
        <f>"0009009 "</f>
        <v xml:space="preserve">0009009 </v>
      </c>
      <c r="B1020" t="s">
        <v>3441</v>
      </c>
      <c r="C1020" t="s">
        <v>2836</v>
      </c>
      <c r="D1020" t="s">
        <v>3623</v>
      </c>
      <c r="E1020">
        <v>1</v>
      </c>
      <c r="F1020" t="s">
        <v>2838</v>
      </c>
      <c r="G1020" t="s">
        <v>3445</v>
      </c>
      <c r="H1020" t="s">
        <v>2836</v>
      </c>
      <c r="I1020" t="s">
        <v>2839</v>
      </c>
    </row>
    <row r="1021" spans="1:9">
      <c r="A1021" t="str">
        <f>"0009021 "</f>
        <v xml:space="preserve">0009021 </v>
      </c>
      <c r="B1021" t="s">
        <v>3441</v>
      </c>
      <c r="C1021" t="s">
        <v>2840</v>
      </c>
      <c r="D1021" t="s">
        <v>3624</v>
      </c>
      <c r="E1021">
        <v>1</v>
      </c>
      <c r="F1021" t="s">
        <v>2842</v>
      </c>
      <c r="G1021" t="s">
        <v>3445</v>
      </c>
      <c r="H1021" t="s">
        <v>2840</v>
      </c>
      <c r="I1021" t="s">
        <v>2843</v>
      </c>
    </row>
    <row r="1022" spans="1:9">
      <c r="A1022" t="str">
        <f>"0009042 "</f>
        <v xml:space="preserve">0009042 </v>
      </c>
      <c r="B1022" t="s">
        <v>3441</v>
      </c>
      <c r="C1022" t="s">
        <v>2848</v>
      </c>
      <c r="D1022" t="s">
        <v>3625</v>
      </c>
      <c r="E1022">
        <v>3</v>
      </c>
      <c r="F1022" t="s">
        <v>2850</v>
      </c>
      <c r="G1022" t="s">
        <v>3445</v>
      </c>
      <c r="H1022" t="s">
        <v>2848</v>
      </c>
      <c r="I1022" t="s">
        <v>2851</v>
      </c>
    </row>
    <row r="1023" spans="1:9">
      <c r="A1023" t="str">
        <f>"0039038 "</f>
        <v xml:space="preserve">0039038 </v>
      </c>
      <c r="B1023" t="s">
        <v>3441</v>
      </c>
      <c r="C1023" t="s">
        <v>3626</v>
      </c>
      <c r="D1023" t="s">
        <v>3627</v>
      </c>
      <c r="E1023">
        <v>1</v>
      </c>
      <c r="F1023" t="s">
        <v>3628</v>
      </c>
      <c r="G1023" t="s">
        <v>3445</v>
      </c>
      <c r="H1023" t="s">
        <v>3626</v>
      </c>
      <c r="I1023" t="s">
        <v>3629</v>
      </c>
    </row>
    <row r="1024" spans="1:9">
      <c r="A1024" t="str">
        <f>"0038051 "</f>
        <v xml:space="preserve">0038051 </v>
      </c>
      <c r="B1024" t="s">
        <v>3441</v>
      </c>
      <c r="C1024" t="s">
        <v>2856</v>
      </c>
      <c r="D1024" t="s">
        <v>3630</v>
      </c>
      <c r="E1024">
        <v>1</v>
      </c>
      <c r="F1024" t="s">
        <v>2858</v>
      </c>
      <c r="G1024" t="s">
        <v>3445</v>
      </c>
      <c r="H1024" t="s">
        <v>2856</v>
      </c>
      <c r="I1024" t="s">
        <v>2859</v>
      </c>
    </row>
    <row r="1025" spans="1:9">
      <c r="A1025" t="str">
        <f>"0009047 "</f>
        <v xml:space="preserve">0009047 </v>
      </c>
      <c r="B1025" t="s">
        <v>3441</v>
      </c>
      <c r="C1025" t="s">
        <v>2860</v>
      </c>
      <c r="D1025" t="s">
        <v>3631</v>
      </c>
      <c r="E1025">
        <v>1</v>
      </c>
      <c r="F1025" t="s">
        <v>2862</v>
      </c>
      <c r="G1025" t="s">
        <v>3445</v>
      </c>
      <c r="H1025" t="s">
        <v>2860</v>
      </c>
      <c r="I1025" t="s">
        <v>2863</v>
      </c>
    </row>
    <row r="1026" spans="1:9">
      <c r="A1026" t="str">
        <f>"0009053 "</f>
        <v xml:space="preserve">0009053 </v>
      </c>
      <c r="B1026" t="s">
        <v>3441</v>
      </c>
      <c r="C1026" t="s">
        <v>3632</v>
      </c>
      <c r="D1026" t="s">
        <v>3633</v>
      </c>
      <c r="E1026">
        <v>1</v>
      </c>
      <c r="F1026" t="s">
        <v>3634</v>
      </c>
      <c r="G1026" t="s">
        <v>3445</v>
      </c>
      <c r="H1026" t="s">
        <v>3632</v>
      </c>
      <c r="I1026" t="s">
        <v>3635</v>
      </c>
    </row>
    <row r="1027" spans="1:9">
      <c r="A1027" t="str">
        <f>"0009056 "</f>
        <v xml:space="preserve">0009056 </v>
      </c>
      <c r="B1027" t="s">
        <v>3441</v>
      </c>
      <c r="C1027" t="s">
        <v>2868</v>
      </c>
      <c r="D1027" t="s">
        <v>3636</v>
      </c>
      <c r="E1027">
        <v>1</v>
      </c>
      <c r="F1027" t="s">
        <v>2870</v>
      </c>
      <c r="G1027" t="s">
        <v>3445</v>
      </c>
      <c r="H1027" t="s">
        <v>2868</v>
      </c>
      <c r="I1027" t="s">
        <v>2871</v>
      </c>
    </row>
    <row r="1028" spans="1:9">
      <c r="A1028" t="str">
        <f>"0009065 "</f>
        <v xml:space="preserve">0009065 </v>
      </c>
      <c r="B1028" t="s">
        <v>3441</v>
      </c>
      <c r="C1028" t="s">
        <v>2872</v>
      </c>
      <c r="D1028" t="s">
        <v>3637</v>
      </c>
      <c r="E1028">
        <v>2</v>
      </c>
      <c r="F1028" t="s">
        <v>2874</v>
      </c>
      <c r="G1028" t="s">
        <v>3445</v>
      </c>
      <c r="H1028" t="s">
        <v>2872</v>
      </c>
      <c r="I1028" t="s">
        <v>2875</v>
      </c>
    </row>
    <row r="1029" spans="1:9">
      <c r="A1029" t="str">
        <f>"0033784 "</f>
        <v xml:space="preserve">0033784 </v>
      </c>
      <c r="B1029" t="s">
        <v>3441</v>
      </c>
      <c r="C1029" t="s">
        <v>2876</v>
      </c>
      <c r="D1029" t="s">
        <v>3638</v>
      </c>
      <c r="E1029">
        <v>1</v>
      </c>
      <c r="F1029" t="s">
        <v>2878</v>
      </c>
      <c r="G1029" t="s">
        <v>3445</v>
      </c>
      <c r="H1029" t="s">
        <v>2876</v>
      </c>
      <c r="I1029" t="s">
        <v>2879</v>
      </c>
    </row>
    <row r="1030" spans="1:9">
      <c r="A1030" t="str">
        <f>"0009081 "</f>
        <v xml:space="preserve">0009081 </v>
      </c>
      <c r="B1030" t="s">
        <v>3441</v>
      </c>
      <c r="C1030" t="s">
        <v>2880</v>
      </c>
      <c r="D1030" t="s">
        <v>3639</v>
      </c>
      <c r="E1030">
        <v>2</v>
      </c>
      <c r="F1030" t="s">
        <v>2882</v>
      </c>
      <c r="G1030" t="s">
        <v>3445</v>
      </c>
      <c r="H1030" t="s">
        <v>2880</v>
      </c>
      <c r="I1030" t="s">
        <v>2883</v>
      </c>
    </row>
    <row r="1031" spans="1:9">
      <c r="A1031" t="str">
        <f>"0015288 "</f>
        <v xml:space="preserve">0015288 </v>
      </c>
      <c r="B1031" t="s">
        <v>3441</v>
      </c>
      <c r="C1031" t="s">
        <v>2884</v>
      </c>
      <c r="D1031" t="s">
        <v>3640</v>
      </c>
      <c r="E1031">
        <v>3</v>
      </c>
      <c r="F1031" t="s">
        <v>2862</v>
      </c>
      <c r="G1031" t="s">
        <v>3445</v>
      </c>
      <c r="H1031" t="s">
        <v>2884</v>
      </c>
      <c r="I1031" t="s">
        <v>2886</v>
      </c>
    </row>
    <row r="1032" spans="1:9">
      <c r="A1032" t="str">
        <f>"0009097 "</f>
        <v xml:space="preserve">0009097 </v>
      </c>
      <c r="B1032" t="s">
        <v>3441</v>
      </c>
      <c r="C1032" t="s">
        <v>3641</v>
      </c>
      <c r="D1032" t="s">
        <v>3642</v>
      </c>
      <c r="E1032">
        <v>1</v>
      </c>
      <c r="F1032" t="s">
        <v>3643</v>
      </c>
      <c r="G1032" t="s">
        <v>3445</v>
      </c>
      <c r="H1032" t="s">
        <v>3641</v>
      </c>
      <c r="I1032" t="s">
        <v>120</v>
      </c>
    </row>
    <row r="1033" spans="1:9">
      <c r="A1033" t="str">
        <f>"0009109 "</f>
        <v xml:space="preserve">0009109 </v>
      </c>
      <c r="B1033" t="s">
        <v>3441</v>
      </c>
      <c r="C1033" t="s">
        <v>2895</v>
      </c>
      <c r="D1033" t="s">
        <v>3644</v>
      </c>
      <c r="E1033">
        <v>1</v>
      </c>
      <c r="F1033" t="s">
        <v>2897</v>
      </c>
      <c r="G1033" t="s">
        <v>3445</v>
      </c>
      <c r="H1033" t="s">
        <v>2895</v>
      </c>
      <c r="I1033" t="s">
        <v>2898</v>
      </c>
    </row>
    <row r="1034" spans="1:9">
      <c r="A1034" t="str">
        <f>"0015351 "</f>
        <v xml:space="preserve">0015351 </v>
      </c>
      <c r="B1034" t="s">
        <v>3441</v>
      </c>
      <c r="C1034" t="s">
        <v>2903</v>
      </c>
      <c r="D1034" t="s">
        <v>3645</v>
      </c>
      <c r="E1034">
        <v>1</v>
      </c>
      <c r="F1034" t="s">
        <v>2905</v>
      </c>
      <c r="G1034" t="s">
        <v>3445</v>
      </c>
      <c r="H1034" t="s">
        <v>2903</v>
      </c>
      <c r="I1034" t="s">
        <v>2906</v>
      </c>
    </row>
    <row r="1035" spans="1:9">
      <c r="A1035" t="str">
        <f>"0009142 "</f>
        <v xml:space="preserve">0009142 </v>
      </c>
      <c r="B1035" t="s">
        <v>3441</v>
      </c>
      <c r="C1035" t="s">
        <v>3646</v>
      </c>
      <c r="D1035" t="s">
        <v>3647</v>
      </c>
      <c r="E1035">
        <v>1</v>
      </c>
      <c r="F1035" t="s">
        <v>3648</v>
      </c>
      <c r="G1035" t="s">
        <v>3445</v>
      </c>
      <c r="H1035" t="s">
        <v>3646</v>
      </c>
      <c r="I1035" t="s">
        <v>3649</v>
      </c>
    </row>
    <row r="1036" spans="1:9">
      <c r="A1036" t="str">
        <f>"0018856 "</f>
        <v xml:space="preserve">0018856 </v>
      </c>
      <c r="B1036" t="s">
        <v>3441</v>
      </c>
      <c r="C1036" t="s">
        <v>2915</v>
      </c>
      <c r="D1036" t="s">
        <v>3650</v>
      </c>
      <c r="E1036">
        <v>1</v>
      </c>
      <c r="F1036" t="s">
        <v>2917</v>
      </c>
      <c r="G1036" t="s">
        <v>3445</v>
      </c>
      <c r="H1036" t="s">
        <v>2915</v>
      </c>
      <c r="I1036" t="s">
        <v>2918</v>
      </c>
    </row>
    <row r="1037" spans="1:9">
      <c r="A1037" t="str">
        <f>"0018860 "</f>
        <v xml:space="preserve">0018860 </v>
      </c>
      <c r="B1037" t="s">
        <v>3441</v>
      </c>
      <c r="C1037" t="s">
        <v>3651</v>
      </c>
      <c r="D1037" t="s">
        <v>3652</v>
      </c>
      <c r="E1037">
        <v>1</v>
      </c>
      <c r="F1037" t="s">
        <v>3653</v>
      </c>
      <c r="G1037" t="s">
        <v>3445</v>
      </c>
      <c r="H1037" t="s">
        <v>3651</v>
      </c>
      <c r="I1037" t="s">
        <v>3654</v>
      </c>
    </row>
    <row r="1038" spans="1:9">
      <c r="A1038" t="str">
        <f>"0018871 "</f>
        <v xml:space="preserve">0018871 </v>
      </c>
      <c r="B1038" t="s">
        <v>3441</v>
      </c>
      <c r="C1038" t="s">
        <v>2923</v>
      </c>
      <c r="D1038" t="s">
        <v>3655</v>
      </c>
      <c r="E1038">
        <v>3</v>
      </c>
      <c r="F1038" t="s">
        <v>2925</v>
      </c>
      <c r="G1038" t="s">
        <v>3445</v>
      </c>
      <c r="H1038" t="s">
        <v>2923</v>
      </c>
      <c r="I1038" t="s">
        <v>2926</v>
      </c>
    </row>
    <row r="1039" spans="1:9">
      <c r="A1039" t="str">
        <f>"0019021 "</f>
        <v xml:space="preserve">0019021 </v>
      </c>
      <c r="B1039" t="s">
        <v>3441</v>
      </c>
      <c r="C1039" t="s">
        <v>2931</v>
      </c>
      <c r="D1039" t="s">
        <v>3656</v>
      </c>
      <c r="E1039">
        <v>1</v>
      </c>
      <c r="F1039" t="s">
        <v>2933</v>
      </c>
      <c r="G1039" t="s">
        <v>3445</v>
      </c>
      <c r="H1039" t="s">
        <v>2931</v>
      </c>
      <c r="I1039" t="s">
        <v>2934</v>
      </c>
    </row>
    <row r="1040" spans="1:9">
      <c r="A1040" t="str">
        <f>"0038061 "</f>
        <v xml:space="preserve">0038061 </v>
      </c>
      <c r="B1040" t="s">
        <v>3441</v>
      </c>
      <c r="C1040" t="s">
        <v>2941</v>
      </c>
      <c r="D1040" t="s">
        <v>3657</v>
      </c>
      <c r="E1040">
        <v>1</v>
      </c>
      <c r="F1040" t="s">
        <v>2874</v>
      </c>
      <c r="G1040" t="s">
        <v>3445</v>
      </c>
      <c r="H1040" t="s">
        <v>2941</v>
      </c>
      <c r="I1040" t="s">
        <v>523</v>
      </c>
    </row>
    <row r="1041" spans="1:9">
      <c r="A1041" t="str">
        <f>"0033792 "</f>
        <v xml:space="preserve">0033792 </v>
      </c>
      <c r="B1041" t="s">
        <v>3441</v>
      </c>
      <c r="C1041" t="s">
        <v>2943</v>
      </c>
      <c r="D1041" t="s">
        <v>3658</v>
      </c>
      <c r="E1041">
        <v>1</v>
      </c>
      <c r="F1041" t="s">
        <v>2929</v>
      </c>
      <c r="G1041" t="s">
        <v>3445</v>
      </c>
      <c r="H1041" t="s">
        <v>2943</v>
      </c>
      <c r="I1041" t="s">
        <v>2945</v>
      </c>
    </row>
    <row r="1042" spans="1:9">
      <c r="A1042" t="str">
        <f>"0009168 "</f>
        <v xml:space="preserve">0009168 </v>
      </c>
      <c r="B1042" t="s">
        <v>3441</v>
      </c>
      <c r="C1042" t="s">
        <v>3659</v>
      </c>
      <c r="D1042" t="s">
        <v>3660</v>
      </c>
      <c r="E1042">
        <v>2</v>
      </c>
      <c r="F1042" t="s">
        <v>3661</v>
      </c>
      <c r="G1042" t="s">
        <v>3445</v>
      </c>
      <c r="H1042" t="s">
        <v>3659</v>
      </c>
      <c r="I1042" t="s">
        <v>3662</v>
      </c>
    </row>
    <row r="1043" spans="1:9">
      <c r="A1043" t="str">
        <f>"0009177 "</f>
        <v xml:space="preserve">0009177 </v>
      </c>
      <c r="B1043" t="s">
        <v>3441</v>
      </c>
      <c r="C1043" t="s">
        <v>2950</v>
      </c>
      <c r="D1043" t="s">
        <v>3663</v>
      </c>
      <c r="E1043">
        <v>4</v>
      </c>
      <c r="F1043" t="s">
        <v>2952</v>
      </c>
      <c r="G1043" t="s">
        <v>3445</v>
      </c>
      <c r="H1043" t="s">
        <v>2950</v>
      </c>
      <c r="I1043" t="s">
        <v>2953</v>
      </c>
    </row>
    <row r="1044" spans="1:9">
      <c r="A1044" t="str">
        <f>"0198126 "</f>
        <v xml:space="preserve">0198126 </v>
      </c>
      <c r="B1044" t="s">
        <v>3441</v>
      </c>
      <c r="C1044" t="s">
        <v>3664</v>
      </c>
      <c r="D1044" t="s">
        <v>3665</v>
      </c>
      <c r="E1044">
        <v>1</v>
      </c>
      <c r="F1044" t="s">
        <v>3666</v>
      </c>
      <c r="G1044" t="s">
        <v>3445</v>
      </c>
      <c r="H1044" t="s">
        <v>3664</v>
      </c>
      <c r="I1044" t="s">
        <v>3667</v>
      </c>
    </row>
    <row r="1045" spans="1:9">
      <c r="A1045" t="str">
        <f>"0009226 "</f>
        <v xml:space="preserve">0009226 </v>
      </c>
      <c r="B1045" t="s">
        <v>3441</v>
      </c>
      <c r="C1045" t="s">
        <v>3668</v>
      </c>
      <c r="D1045" t="s">
        <v>3669</v>
      </c>
      <c r="E1045">
        <v>2</v>
      </c>
      <c r="F1045" t="s">
        <v>3670</v>
      </c>
      <c r="G1045" t="s">
        <v>3445</v>
      </c>
      <c r="H1045" t="s">
        <v>3668</v>
      </c>
      <c r="I1045" t="s">
        <v>3671</v>
      </c>
    </row>
    <row r="1046" spans="1:9">
      <c r="A1046" t="str">
        <f>"0009305 "</f>
        <v xml:space="preserve">0009305 </v>
      </c>
      <c r="B1046" t="s">
        <v>3441</v>
      </c>
      <c r="C1046" t="s">
        <v>2958</v>
      </c>
      <c r="D1046" t="s">
        <v>3672</v>
      </c>
      <c r="E1046">
        <v>1</v>
      </c>
      <c r="F1046" t="s">
        <v>2960</v>
      </c>
      <c r="G1046" t="s">
        <v>3445</v>
      </c>
      <c r="H1046" t="s">
        <v>2958</v>
      </c>
      <c r="I1046" t="s">
        <v>2961</v>
      </c>
    </row>
    <row r="1047" spans="1:9">
      <c r="A1047" t="str">
        <f>"0009312 "</f>
        <v xml:space="preserve">0009312 </v>
      </c>
      <c r="B1047" t="s">
        <v>3441</v>
      </c>
      <c r="C1047" t="s">
        <v>2962</v>
      </c>
      <c r="D1047" t="s">
        <v>3673</v>
      </c>
      <c r="E1047" t="s">
        <v>20</v>
      </c>
      <c r="F1047" t="s">
        <v>2964</v>
      </c>
      <c r="G1047" t="s">
        <v>3445</v>
      </c>
      <c r="H1047" t="s">
        <v>2962</v>
      </c>
      <c r="I1047" t="s">
        <v>2965</v>
      </c>
    </row>
    <row r="1048" spans="1:9">
      <c r="A1048" t="str">
        <f>"0009341 "</f>
        <v xml:space="preserve">0009341 </v>
      </c>
      <c r="B1048" t="s">
        <v>3441</v>
      </c>
      <c r="C1048" t="s">
        <v>3674</v>
      </c>
      <c r="D1048" t="s">
        <v>3675</v>
      </c>
      <c r="E1048">
        <v>1</v>
      </c>
      <c r="F1048" t="s">
        <v>3676</v>
      </c>
      <c r="G1048" t="s">
        <v>3445</v>
      </c>
      <c r="H1048" t="s">
        <v>3674</v>
      </c>
      <c r="I1048" t="s">
        <v>3677</v>
      </c>
    </row>
    <row r="1049" spans="1:9">
      <c r="A1049" t="str">
        <f>"0009343 "</f>
        <v xml:space="preserve">0009343 </v>
      </c>
      <c r="B1049" t="s">
        <v>3441</v>
      </c>
      <c r="C1049" t="s">
        <v>3678</v>
      </c>
      <c r="D1049" t="s">
        <v>3679</v>
      </c>
      <c r="E1049">
        <v>1</v>
      </c>
      <c r="F1049" t="s">
        <v>1540</v>
      </c>
      <c r="G1049" t="s">
        <v>3445</v>
      </c>
      <c r="H1049" t="s">
        <v>3678</v>
      </c>
      <c r="I1049" t="s">
        <v>3680</v>
      </c>
    </row>
    <row r="1050" spans="1:9">
      <c r="A1050" t="str">
        <f>"0009365 "</f>
        <v xml:space="preserve">0009365 </v>
      </c>
      <c r="B1050" t="s">
        <v>3441</v>
      </c>
      <c r="C1050" t="s">
        <v>2966</v>
      </c>
      <c r="D1050" t="s">
        <v>3681</v>
      </c>
      <c r="E1050">
        <v>1</v>
      </c>
      <c r="F1050" t="s">
        <v>2666</v>
      </c>
      <c r="G1050" t="s">
        <v>3445</v>
      </c>
      <c r="H1050" t="s">
        <v>2966</v>
      </c>
      <c r="I1050" t="s">
        <v>2968</v>
      </c>
    </row>
    <row r="1051" spans="1:9">
      <c r="A1051" t="str">
        <f>"0009468 "</f>
        <v xml:space="preserve">0009468 </v>
      </c>
      <c r="B1051" t="s">
        <v>3441</v>
      </c>
      <c r="C1051" t="s">
        <v>2973</v>
      </c>
      <c r="D1051" t="s">
        <v>3682</v>
      </c>
      <c r="E1051">
        <v>4</v>
      </c>
      <c r="F1051" t="s">
        <v>2878</v>
      </c>
      <c r="G1051" t="s">
        <v>3445</v>
      </c>
      <c r="H1051" t="s">
        <v>2973</v>
      </c>
      <c r="I1051" t="s">
        <v>3683</v>
      </c>
    </row>
    <row r="1052" spans="1:9">
      <c r="A1052" t="str">
        <f>"0009487 "</f>
        <v xml:space="preserve">0009487 </v>
      </c>
      <c r="B1052" t="s">
        <v>3441</v>
      </c>
      <c r="C1052" t="s">
        <v>3684</v>
      </c>
      <c r="D1052" t="s">
        <v>3685</v>
      </c>
      <c r="E1052">
        <v>1</v>
      </c>
      <c r="F1052" t="s">
        <v>3686</v>
      </c>
      <c r="G1052" t="s">
        <v>3445</v>
      </c>
      <c r="H1052" t="s">
        <v>3684</v>
      </c>
      <c r="I1052" t="s">
        <v>3687</v>
      </c>
    </row>
    <row r="1053" spans="1:9">
      <c r="A1053" t="str">
        <f>"0009516 "</f>
        <v xml:space="preserve">0009516 </v>
      </c>
      <c r="B1053" t="s">
        <v>3441</v>
      </c>
      <c r="C1053" t="s">
        <v>3688</v>
      </c>
      <c r="D1053" t="s">
        <v>3689</v>
      </c>
      <c r="E1053">
        <v>5</v>
      </c>
      <c r="F1053" t="s">
        <v>2697</v>
      </c>
      <c r="G1053" t="s">
        <v>3445</v>
      </c>
      <c r="H1053" t="s">
        <v>3688</v>
      </c>
      <c r="I1053" t="s">
        <v>3690</v>
      </c>
    </row>
    <row r="1054" spans="1:9">
      <c r="A1054" t="str">
        <f>"0015327 "</f>
        <v xml:space="preserve">0015327 </v>
      </c>
      <c r="B1054" t="s">
        <v>3441</v>
      </c>
      <c r="C1054" t="s">
        <v>2986</v>
      </c>
      <c r="D1054" t="s">
        <v>3691</v>
      </c>
      <c r="E1054">
        <v>1</v>
      </c>
      <c r="F1054" t="s">
        <v>2988</v>
      </c>
      <c r="G1054" t="s">
        <v>3445</v>
      </c>
      <c r="H1054" t="s">
        <v>2986</v>
      </c>
      <c r="I1054" t="s">
        <v>2989</v>
      </c>
    </row>
    <row r="1055" spans="1:9">
      <c r="A1055" t="str">
        <f>"0009581 "</f>
        <v xml:space="preserve">0009581 </v>
      </c>
      <c r="B1055" t="s">
        <v>3441</v>
      </c>
      <c r="C1055" t="s">
        <v>3692</v>
      </c>
      <c r="D1055" t="s">
        <v>3693</v>
      </c>
      <c r="E1055">
        <v>1</v>
      </c>
      <c r="F1055" t="s">
        <v>3694</v>
      </c>
      <c r="G1055" t="s">
        <v>3445</v>
      </c>
      <c r="H1055" t="s">
        <v>3692</v>
      </c>
      <c r="I1055" t="s">
        <v>3695</v>
      </c>
    </row>
    <row r="1056" spans="1:9">
      <c r="A1056" t="str">
        <f>"0009597 "</f>
        <v xml:space="preserve">0009597 </v>
      </c>
      <c r="B1056" t="s">
        <v>3441</v>
      </c>
      <c r="C1056" t="s">
        <v>3696</v>
      </c>
      <c r="D1056" t="s">
        <v>3697</v>
      </c>
      <c r="E1056">
        <v>1</v>
      </c>
      <c r="F1056" t="s">
        <v>3698</v>
      </c>
      <c r="G1056" t="s">
        <v>3445</v>
      </c>
      <c r="H1056" t="s">
        <v>3696</v>
      </c>
      <c r="I1056" t="s">
        <v>3699</v>
      </c>
    </row>
    <row r="1057" spans="1:9">
      <c r="A1057" t="str">
        <f>"0009642 "</f>
        <v xml:space="preserve">0009642 </v>
      </c>
      <c r="B1057" t="s">
        <v>3441</v>
      </c>
      <c r="C1057" t="s">
        <v>2994</v>
      </c>
      <c r="D1057" t="s">
        <v>3700</v>
      </c>
      <c r="E1057">
        <v>1</v>
      </c>
      <c r="F1057" t="s">
        <v>2996</v>
      </c>
      <c r="G1057" t="s">
        <v>3445</v>
      </c>
      <c r="H1057" t="s">
        <v>2994</v>
      </c>
      <c r="I1057" t="s">
        <v>2997</v>
      </c>
    </row>
    <row r="1058" spans="1:9">
      <c r="A1058" t="str">
        <f>"0009729 "</f>
        <v xml:space="preserve">0009729 </v>
      </c>
      <c r="B1058" t="s">
        <v>3441</v>
      </c>
      <c r="C1058" t="s">
        <v>3701</v>
      </c>
      <c r="D1058" t="s">
        <v>3702</v>
      </c>
      <c r="E1058">
        <v>1</v>
      </c>
      <c r="F1058" t="s">
        <v>3703</v>
      </c>
      <c r="G1058" t="s">
        <v>3445</v>
      </c>
      <c r="H1058" t="s">
        <v>3701</v>
      </c>
      <c r="I1058" t="s">
        <v>3704</v>
      </c>
    </row>
    <row r="1059" spans="1:9">
      <c r="A1059" t="str">
        <f>"0009789 "</f>
        <v xml:space="preserve">0009789 </v>
      </c>
      <c r="B1059" t="s">
        <v>3441</v>
      </c>
      <c r="C1059" t="s">
        <v>3705</v>
      </c>
      <c r="D1059" t="s">
        <v>3706</v>
      </c>
      <c r="E1059">
        <v>3</v>
      </c>
      <c r="F1059" t="s">
        <v>3707</v>
      </c>
      <c r="G1059" t="s">
        <v>3445</v>
      </c>
      <c r="H1059" t="s">
        <v>3705</v>
      </c>
      <c r="I1059" t="s">
        <v>3708</v>
      </c>
    </row>
    <row r="1060" spans="1:9">
      <c r="A1060" t="str">
        <f>"0009793 "</f>
        <v xml:space="preserve">0009793 </v>
      </c>
      <c r="B1060" t="s">
        <v>3441</v>
      </c>
      <c r="C1060" t="s">
        <v>3006</v>
      </c>
      <c r="D1060" t="s">
        <v>3709</v>
      </c>
      <c r="E1060" t="s">
        <v>20</v>
      </c>
      <c r="F1060" t="s">
        <v>3008</v>
      </c>
      <c r="G1060" t="s">
        <v>3445</v>
      </c>
      <c r="H1060" t="s">
        <v>3006</v>
      </c>
      <c r="I1060" t="s">
        <v>3009</v>
      </c>
    </row>
    <row r="1061" spans="1:9">
      <c r="A1061" t="str">
        <f>"0090685 "</f>
        <v xml:space="preserve">0090685 </v>
      </c>
      <c r="B1061" t="s">
        <v>3441</v>
      </c>
      <c r="C1061" t="s">
        <v>3014</v>
      </c>
      <c r="D1061" t="s">
        <v>3710</v>
      </c>
      <c r="E1061">
        <v>2</v>
      </c>
      <c r="F1061" t="s">
        <v>3016</v>
      </c>
      <c r="G1061" t="s">
        <v>3445</v>
      </c>
      <c r="H1061" t="s">
        <v>3014</v>
      </c>
      <c r="I1061" t="s">
        <v>3017</v>
      </c>
    </row>
    <row r="1062" spans="1:9">
      <c r="A1062" t="str">
        <f>"0009796 "</f>
        <v xml:space="preserve">0009796 </v>
      </c>
      <c r="B1062" t="s">
        <v>3441</v>
      </c>
      <c r="C1062" t="s">
        <v>3018</v>
      </c>
      <c r="D1062" t="s">
        <v>3711</v>
      </c>
      <c r="E1062">
        <v>2</v>
      </c>
      <c r="F1062" t="s">
        <v>3020</v>
      </c>
      <c r="G1062" t="s">
        <v>3445</v>
      </c>
      <c r="H1062" t="s">
        <v>3018</v>
      </c>
      <c r="I1062" t="s">
        <v>3021</v>
      </c>
    </row>
    <row r="1063" spans="1:9">
      <c r="A1063" t="str">
        <f>"0009798 "</f>
        <v xml:space="preserve">0009798 </v>
      </c>
      <c r="B1063" t="s">
        <v>3441</v>
      </c>
      <c r="C1063" t="s">
        <v>3022</v>
      </c>
      <c r="D1063" t="s">
        <v>3712</v>
      </c>
      <c r="E1063">
        <v>2</v>
      </c>
      <c r="F1063" t="s">
        <v>3024</v>
      </c>
      <c r="G1063" t="s">
        <v>3445</v>
      </c>
      <c r="H1063" t="s">
        <v>3022</v>
      </c>
      <c r="I1063" t="s">
        <v>3025</v>
      </c>
    </row>
    <row r="1064" spans="1:9">
      <c r="A1064" t="str">
        <f>"0009799 "</f>
        <v xml:space="preserve">0009799 </v>
      </c>
      <c r="B1064" t="s">
        <v>3441</v>
      </c>
      <c r="C1064" t="s">
        <v>3026</v>
      </c>
      <c r="D1064" t="s">
        <v>3713</v>
      </c>
      <c r="E1064">
        <v>4</v>
      </c>
      <c r="F1064" t="s">
        <v>3028</v>
      </c>
      <c r="G1064" t="s">
        <v>3445</v>
      </c>
      <c r="H1064" t="s">
        <v>3026</v>
      </c>
      <c r="I1064" t="s">
        <v>3025</v>
      </c>
    </row>
    <row r="1065" spans="1:9">
      <c r="A1065" t="str">
        <f>"0009801 "</f>
        <v xml:space="preserve">0009801 </v>
      </c>
      <c r="B1065" t="s">
        <v>3441</v>
      </c>
      <c r="C1065" t="s">
        <v>3714</v>
      </c>
      <c r="D1065" t="s">
        <v>3715</v>
      </c>
      <c r="E1065">
        <v>3</v>
      </c>
      <c r="F1065" t="s">
        <v>3716</v>
      </c>
      <c r="G1065" t="s">
        <v>3445</v>
      </c>
      <c r="H1065" t="s">
        <v>3714</v>
      </c>
      <c r="I1065" t="s">
        <v>3717</v>
      </c>
    </row>
    <row r="1066" spans="1:9">
      <c r="A1066" t="str">
        <f>"0009805 "</f>
        <v xml:space="preserve">0009805 </v>
      </c>
      <c r="B1066" t="s">
        <v>3441</v>
      </c>
      <c r="C1066" t="s">
        <v>3029</v>
      </c>
      <c r="D1066" t="s">
        <v>3718</v>
      </c>
      <c r="E1066" t="s">
        <v>20</v>
      </c>
      <c r="F1066" t="s">
        <v>1425</v>
      </c>
      <c r="G1066" t="s">
        <v>3445</v>
      </c>
      <c r="H1066" t="s">
        <v>3029</v>
      </c>
      <c r="I1066" t="s">
        <v>3031</v>
      </c>
    </row>
    <row r="1067" spans="1:9">
      <c r="A1067" t="str">
        <f>"0009825 "</f>
        <v xml:space="preserve">0009825 </v>
      </c>
      <c r="B1067" t="s">
        <v>3441</v>
      </c>
      <c r="C1067" t="s">
        <v>3719</v>
      </c>
      <c r="D1067" t="s">
        <v>3720</v>
      </c>
      <c r="E1067">
        <v>2</v>
      </c>
      <c r="F1067" t="s">
        <v>3721</v>
      </c>
      <c r="G1067" t="s">
        <v>3445</v>
      </c>
      <c r="H1067" t="s">
        <v>3719</v>
      </c>
      <c r="I1067" t="s">
        <v>3722</v>
      </c>
    </row>
    <row r="1068" spans="1:9">
      <c r="A1068" t="str">
        <f>"0009827 "</f>
        <v xml:space="preserve">0009827 </v>
      </c>
      <c r="B1068" t="s">
        <v>3441</v>
      </c>
      <c r="C1068" t="s">
        <v>3036</v>
      </c>
      <c r="D1068" t="s">
        <v>3723</v>
      </c>
      <c r="E1068" t="s">
        <v>20</v>
      </c>
      <c r="F1068" t="s">
        <v>3038</v>
      </c>
      <c r="G1068" t="s">
        <v>3445</v>
      </c>
      <c r="H1068" t="s">
        <v>3036</v>
      </c>
      <c r="I1068" t="s">
        <v>3039</v>
      </c>
    </row>
    <row r="1069" spans="1:9">
      <c r="A1069" t="str">
        <f>"0009834 "</f>
        <v xml:space="preserve">0009834 </v>
      </c>
      <c r="B1069" t="s">
        <v>3441</v>
      </c>
      <c r="C1069" t="s">
        <v>3724</v>
      </c>
      <c r="D1069" t="s">
        <v>3725</v>
      </c>
      <c r="E1069" t="s">
        <v>20</v>
      </c>
      <c r="F1069" t="s">
        <v>3726</v>
      </c>
      <c r="G1069" t="s">
        <v>3445</v>
      </c>
      <c r="H1069" t="s">
        <v>3724</v>
      </c>
      <c r="I1069" t="s">
        <v>3727</v>
      </c>
    </row>
    <row r="1070" spans="1:9">
      <c r="A1070" t="str">
        <f>"0009839 "</f>
        <v xml:space="preserve">0009839 </v>
      </c>
      <c r="B1070" t="s">
        <v>3441</v>
      </c>
      <c r="C1070" t="s">
        <v>3044</v>
      </c>
      <c r="D1070" t="s">
        <v>3728</v>
      </c>
      <c r="E1070">
        <v>1</v>
      </c>
      <c r="F1070" t="s">
        <v>3046</v>
      </c>
      <c r="G1070" t="s">
        <v>3445</v>
      </c>
      <c r="H1070" t="s">
        <v>3044</v>
      </c>
      <c r="I1070" t="s">
        <v>3047</v>
      </c>
    </row>
    <row r="1071" spans="1:9">
      <c r="A1071" t="str">
        <f>"0009840 "</f>
        <v xml:space="preserve">0009840 </v>
      </c>
      <c r="B1071" t="s">
        <v>3441</v>
      </c>
      <c r="C1071" t="s">
        <v>3048</v>
      </c>
      <c r="D1071" t="s">
        <v>3729</v>
      </c>
      <c r="E1071" t="s">
        <v>20</v>
      </c>
      <c r="F1071" t="s">
        <v>3050</v>
      </c>
      <c r="G1071" t="s">
        <v>3445</v>
      </c>
      <c r="H1071" t="s">
        <v>3048</v>
      </c>
      <c r="I1071" t="s">
        <v>3730</v>
      </c>
    </row>
    <row r="1072" spans="1:9">
      <c r="A1072" t="str">
        <f>"0009842 "</f>
        <v xml:space="preserve">0009842 </v>
      </c>
      <c r="B1072" t="s">
        <v>3441</v>
      </c>
      <c r="C1072" t="s">
        <v>3731</v>
      </c>
      <c r="D1072" t="s">
        <v>3732</v>
      </c>
      <c r="E1072" t="s">
        <v>20</v>
      </c>
      <c r="F1072" t="s">
        <v>3733</v>
      </c>
      <c r="G1072" t="s">
        <v>3445</v>
      </c>
      <c r="H1072" t="s">
        <v>3731</v>
      </c>
      <c r="I1072" t="s">
        <v>3734</v>
      </c>
    </row>
    <row r="1073" spans="1:9">
      <c r="A1073" t="str">
        <f>"0009844 "</f>
        <v xml:space="preserve">0009844 </v>
      </c>
      <c r="B1073" t="s">
        <v>3441</v>
      </c>
      <c r="C1073" t="s">
        <v>3735</v>
      </c>
      <c r="D1073" t="s">
        <v>3736</v>
      </c>
      <c r="E1073">
        <v>1</v>
      </c>
      <c r="F1073" t="s">
        <v>3737</v>
      </c>
      <c r="G1073" t="s">
        <v>3445</v>
      </c>
      <c r="H1073" t="s">
        <v>3735</v>
      </c>
      <c r="I1073" t="s">
        <v>3738</v>
      </c>
    </row>
    <row r="1074" spans="1:9">
      <c r="A1074" t="str">
        <f>"0009845 "</f>
        <v xml:space="preserve">0009845 </v>
      </c>
      <c r="B1074" t="s">
        <v>3441</v>
      </c>
      <c r="C1074" t="s">
        <v>3052</v>
      </c>
      <c r="D1074" t="s">
        <v>3739</v>
      </c>
      <c r="E1074">
        <v>1</v>
      </c>
      <c r="F1074" t="s">
        <v>3054</v>
      </c>
      <c r="G1074" t="s">
        <v>3445</v>
      </c>
      <c r="H1074" t="s">
        <v>3052</v>
      </c>
      <c r="I1074" t="s">
        <v>3055</v>
      </c>
    </row>
    <row r="1075" spans="1:9">
      <c r="A1075" t="str">
        <f>"0009847 "</f>
        <v xml:space="preserve">0009847 </v>
      </c>
      <c r="B1075" t="s">
        <v>3441</v>
      </c>
      <c r="C1075" t="s">
        <v>3056</v>
      </c>
      <c r="D1075" t="s">
        <v>3740</v>
      </c>
      <c r="E1075">
        <v>1</v>
      </c>
      <c r="F1075" t="s">
        <v>3058</v>
      </c>
      <c r="G1075" t="s">
        <v>3445</v>
      </c>
      <c r="H1075" t="s">
        <v>3056</v>
      </c>
      <c r="I1075" t="s">
        <v>3059</v>
      </c>
    </row>
    <row r="1076" spans="1:9">
      <c r="A1076" t="str">
        <f>"0009852 "</f>
        <v xml:space="preserve">0009852 </v>
      </c>
      <c r="B1076" t="s">
        <v>3441</v>
      </c>
      <c r="C1076" t="s">
        <v>3060</v>
      </c>
      <c r="D1076" t="s">
        <v>3741</v>
      </c>
      <c r="E1076">
        <v>5</v>
      </c>
      <c r="F1076" t="s">
        <v>3062</v>
      </c>
      <c r="G1076" t="s">
        <v>3445</v>
      </c>
      <c r="H1076" t="s">
        <v>3060</v>
      </c>
      <c r="I1076" t="s">
        <v>3063</v>
      </c>
    </row>
    <row r="1077" spans="1:9">
      <c r="A1077" t="str">
        <f>"0009858 "</f>
        <v xml:space="preserve">0009858 </v>
      </c>
      <c r="B1077" t="s">
        <v>3441</v>
      </c>
      <c r="C1077" t="s">
        <v>3742</v>
      </c>
      <c r="D1077" t="s">
        <v>3743</v>
      </c>
      <c r="E1077">
        <v>1</v>
      </c>
      <c r="F1077" t="s">
        <v>3744</v>
      </c>
      <c r="G1077" t="s">
        <v>3445</v>
      </c>
      <c r="H1077" t="s">
        <v>3742</v>
      </c>
      <c r="I1077" t="s">
        <v>3745</v>
      </c>
    </row>
    <row r="1078" spans="1:9">
      <c r="A1078" t="str">
        <f>"0009861 "</f>
        <v xml:space="preserve">0009861 </v>
      </c>
      <c r="B1078" t="s">
        <v>3441</v>
      </c>
      <c r="C1078" t="s">
        <v>3746</v>
      </c>
      <c r="D1078" t="s">
        <v>3747</v>
      </c>
      <c r="E1078">
        <v>2</v>
      </c>
      <c r="F1078" t="s">
        <v>3190</v>
      </c>
      <c r="G1078" t="s">
        <v>3445</v>
      </c>
      <c r="H1078" t="s">
        <v>3746</v>
      </c>
      <c r="I1078" t="s">
        <v>3748</v>
      </c>
    </row>
    <row r="1079" spans="1:9">
      <c r="A1079" t="str">
        <f>"0009868 "</f>
        <v xml:space="preserve">0009868 </v>
      </c>
      <c r="B1079" t="s">
        <v>3441</v>
      </c>
      <c r="C1079" t="s">
        <v>3075</v>
      </c>
      <c r="D1079" t="s">
        <v>3749</v>
      </c>
      <c r="E1079">
        <v>1</v>
      </c>
      <c r="F1079" t="s">
        <v>3077</v>
      </c>
      <c r="G1079" t="s">
        <v>3445</v>
      </c>
      <c r="H1079" t="s">
        <v>3075</v>
      </c>
      <c r="I1079" t="s">
        <v>3078</v>
      </c>
    </row>
    <row r="1080" spans="1:9">
      <c r="A1080" t="str">
        <f>"0009877 "</f>
        <v xml:space="preserve">0009877 </v>
      </c>
      <c r="B1080" t="s">
        <v>3441</v>
      </c>
      <c r="C1080" t="s">
        <v>3750</v>
      </c>
      <c r="D1080" t="s">
        <v>3751</v>
      </c>
      <c r="E1080">
        <v>3</v>
      </c>
      <c r="F1080" t="s">
        <v>3282</v>
      </c>
      <c r="G1080" t="s">
        <v>3445</v>
      </c>
      <c r="H1080" t="s">
        <v>3750</v>
      </c>
      <c r="I1080" t="s">
        <v>3752</v>
      </c>
    </row>
    <row r="1081" spans="1:9">
      <c r="A1081" t="str">
        <f>"0009878 "</f>
        <v xml:space="preserve">0009878 </v>
      </c>
      <c r="B1081" t="s">
        <v>3441</v>
      </c>
      <c r="C1081" t="s">
        <v>3079</v>
      </c>
      <c r="D1081" t="s">
        <v>3753</v>
      </c>
      <c r="E1081" t="s">
        <v>20</v>
      </c>
      <c r="F1081" t="s">
        <v>3081</v>
      </c>
      <c r="G1081" t="s">
        <v>3445</v>
      </c>
      <c r="H1081" t="s">
        <v>3079</v>
      </c>
      <c r="I1081" t="s">
        <v>3082</v>
      </c>
    </row>
    <row r="1082" spans="1:9">
      <c r="A1082" t="str">
        <f>"0009881 "</f>
        <v xml:space="preserve">0009881 </v>
      </c>
      <c r="B1082" t="s">
        <v>3441</v>
      </c>
      <c r="C1082" t="s">
        <v>3754</v>
      </c>
      <c r="D1082" t="s">
        <v>3755</v>
      </c>
      <c r="E1082">
        <v>2</v>
      </c>
      <c r="F1082" t="s">
        <v>2768</v>
      </c>
      <c r="G1082" t="s">
        <v>3445</v>
      </c>
      <c r="H1082" t="s">
        <v>3754</v>
      </c>
      <c r="I1082" t="s">
        <v>3756</v>
      </c>
    </row>
    <row r="1083" spans="1:9">
      <c r="A1083" t="str">
        <f>"0009886 "</f>
        <v xml:space="preserve">0009886 </v>
      </c>
      <c r="B1083" t="s">
        <v>3441</v>
      </c>
      <c r="C1083" t="s">
        <v>3087</v>
      </c>
      <c r="D1083" t="s">
        <v>3757</v>
      </c>
      <c r="E1083">
        <v>2</v>
      </c>
      <c r="F1083" t="s">
        <v>3089</v>
      </c>
      <c r="G1083" t="s">
        <v>3445</v>
      </c>
      <c r="H1083" t="s">
        <v>3087</v>
      </c>
      <c r="I1083" t="s">
        <v>3090</v>
      </c>
    </row>
    <row r="1084" spans="1:9">
      <c r="A1084" t="str">
        <f>"0009904 "</f>
        <v xml:space="preserve">0009904 </v>
      </c>
      <c r="B1084" t="s">
        <v>3441</v>
      </c>
      <c r="C1084" t="s">
        <v>3099</v>
      </c>
      <c r="D1084" t="s">
        <v>3758</v>
      </c>
      <c r="E1084">
        <v>2</v>
      </c>
      <c r="F1084" t="s">
        <v>3101</v>
      </c>
      <c r="G1084" t="s">
        <v>3445</v>
      </c>
      <c r="H1084" t="s">
        <v>3099</v>
      </c>
      <c r="I1084" t="s">
        <v>3102</v>
      </c>
    </row>
    <row r="1085" spans="1:9">
      <c r="A1085" t="str">
        <f>"0009906 "</f>
        <v xml:space="preserve">0009906 </v>
      </c>
      <c r="B1085" t="s">
        <v>3441</v>
      </c>
      <c r="C1085" t="s">
        <v>3103</v>
      </c>
      <c r="D1085" t="s">
        <v>3759</v>
      </c>
      <c r="E1085">
        <v>2</v>
      </c>
      <c r="F1085" t="s">
        <v>3105</v>
      </c>
      <c r="G1085" t="s">
        <v>3445</v>
      </c>
      <c r="H1085" t="s">
        <v>3103</v>
      </c>
      <c r="I1085" t="s">
        <v>3106</v>
      </c>
    </row>
    <row r="1086" spans="1:9">
      <c r="A1086" t="str">
        <f>"0009951 "</f>
        <v xml:space="preserve">0009951 </v>
      </c>
      <c r="B1086" t="s">
        <v>3441</v>
      </c>
      <c r="C1086" t="s">
        <v>3130</v>
      </c>
      <c r="D1086" t="s">
        <v>3760</v>
      </c>
      <c r="E1086">
        <v>5</v>
      </c>
      <c r="F1086" t="s">
        <v>3132</v>
      </c>
      <c r="G1086" t="s">
        <v>3445</v>
      </c>
      <c r="H1086" t="s">
        <v>3130</v>
      </c>
      <c r="I1086" t="s">
        <v>3133</v>
      </c>
    </row>
    <row r="1087" spans="1:9">
      <c r="A1087" t="str">
        <f>"0009956 "</f>
        <v xml:space="preserve">0009956 </v>
      </c>
      <c r="B1087" t="s">
        <v>3441</v>
      </c>
      <c r="C1087" t="s">
        <v>3134</v>
      </c>
      <c r="D1087" t="s">
        <v>3761</v>
      </c>
      <c r="E1087">
        <v>1</v>
      </c>
      <c r="F1087" t="s">
        <v>1453</v>
      </c>
      <c r="G1087" t="s">
        <v>3445</v>
      </c>
      <c r="H1087" t="s">
        <v>3134</v>
      </c>
      <c r="I1087" t="s">
        <v>3136</v>
      </c>
    </row>
    <row r="1088" spans="1:9">
      <c r="A1088" t="str">
        <f>"0009959 "</f>
        <v xml:space="preserve">0009959 </v>
      </c>
      <c r="B1088" t="s">
        <v>3441</v>
      </c>
      <c r="C1088" t="s">
        <v>3137</v>
      </c>
      <c r="D1088" t="s">
        <v>3762</v>
      </c>
      <c r="E1088" t="s">
        <v>20</v>
      </c>
      <c r="F1088" t="s">
        <v>3139</v>
      </c>
      <c r="G1088" t="s">
        <v>3445</v>
      </c>
      <c r="H1088" t="s">
        <v>3137</v>
      </c>
      <c r="I1088" t="s">
        <v>3140</v>
      </c>
    </row>
    <row r="1089" spans="1:9">
      <c r="A1089" t="str">
        <f>"0009961 "</f>
        <v xml:space="preserve">0009961 </v>
      </c>
      <c r="B1089" t="s">
        <v>3441</v>
      </c>
      <c r="C1089" t="s">
        <v>3145</v>
      </c>
      <c r="D1089" t="s">
        <v>3763</v>
      </c>
      <c r="E1089" t="s">
        <v>20</v>
      </c>
      <c r="F1089" t="s">
        <v>3147</v>
      </c>
      <c r="G1089" t="s">
        <v>3445</v>
      </c>
      <c r="H1089" t="s">
        <v>3145</v>
      </c>
      <c r="I1089" t="s">
        <v>3148</v>
      </c>
    </row>
    <row r="1090" spans="1:9">
      <c r="A1090" t="str">
        <f>"0009966 "</f>
        <v xml:space="preserve">0009966 </v>
      </c>
      <c r="B1090" t="s">
        <v>3441</v>
      </c>
      <c r="C1090" t="s">
        <v>3764</v>
      </c>
      <c r="D1090" t="s">
        <v>3765</v>
      </c>
      <c r="E1090">
        <v>2</v>
      </c>
      <c r="F1090" t="s">
        <v>3766</v>
      </c>
      <c r="G1090" t="s">
        <v>3445</v>
      </c>
      <c r="H1090" t="s">
        <v>3764</v>
      </c>
      <c r="I1090" t="s">
        <v>3767</v>
      </c>
    </row>
    <row r="1091" spans="1:9">
      <c r="A1091" t="str">
        <f>"0009967 "</f>
        <v xml:space="preserve">0009967 </v>
      </c>
      <c r="B1091" t="s">
        <v>3441</v>
      </c>
      <c r="C1091" t="s">
        <v>3149</v>
      </c>
      <c r="D1091" t="s">
        <v>3768</v>
      </c>
      <c r="E1091">
        <v>1</v>
      </c>
      <c r="F1091" t="s">
        <v>2984</v>
      </c>
      <c r="G1091" t="s">
        <v>3445</v>
      </c>
      <c r="H1091" t="s">
        <v>3149</v>
      </c>
      <c r="I1091" t="s">
        <v>3151</v>
      </c>
    </row>
    <row r="1092" spans="1:9">
      <c r="A1092" t="str">
        <f>"0009992 "</f>
        <v xml:space="preserve">0009992 </v>
      </c>
      <c r="B1092" t="s">
        <v>3441</v>
      </c>
      <c r="C1092" t="s">
        <v>3176</v>
      </c>
      <c r="D1092" t="s">
        <v>3769</v>
      </c>
      <c r="E1092">
        <v>1</v>
      </c>
      <c r="F1092" t="s">
        <v>3178</v>
      </c>
      <c r="G1092" t="s">
        <v>3445</v>
      </c>
      <c r="H1092" t="s">
        <v>3176</v>
      </c>
      <c r="I1092" t="s">
        <v>3179</v>
      </c>
    </row>
    <row r="1093" spans="1:9">
      <c r="A1093" t="str">
        <f>"0020375 "</f>
        <v xml:space="preserve">0020375 </v>
      </c>
      <c r="B1093" t="s">
        <v>3441</v>
      </c>
      <c r="C1093" t="s">
        <v>3184</v>
      </c>
      <c r="D1093" t="s">
        <v>3770</v>
      </c>
      <c r="E1093">
        <v>1</v>
      </c>
      <c r="F1093" t="s">
        <v>3186</v>
      </c>
      <c r="G1093" t="s">
        <v>3445</v>
      </c>
      <c r="H1093" t="s">
        <v>3184</v>
      </c>
      <c r="I1093" t="s">
        <v>3187</v>
      </c>
    </row>
    <row r="1094" spans="1:9">
      <c r="A1094" t="str">
        <f>"0018875 "</f>
        <v xml:space="preserve">0018875 </v>
      </c>
      <c r="B1094" t="s">
        <v>3441</v>
      </c>
      <c r="C1094" t="s">
        <v>3188</v>
      </c>
      <c r="D1094" t="s">
        <v>3771</v>
      </c>
      <c r="E1094">
        <v>4</v>
      </c>
      <c r="F1094" t="s">
        <v>3190</v>
      </c>
      <c r="G1094" t="s">
        <v>3445</v>
      </c>
      <c r="H1094" t="s">
        <v>3188</v>
      </c>
      <c r="I1094" t="s">
        <v>3191</v>
      </c>
    </row>
    <row r="1095" spans="1:9">
      <c r="A1095" t="str">
        <f>"0010030 "</f>
        <v xml:space="preserve">0010030 </v>
      </c>
      <c r="B1095" t="s">
        <v>3441</v>
      </c>
      <c r="C1095" t="s">
        <v>3200</v>
      </c>
      <c r="D1095" t="s">
        <v>3772</v>
      </c>
      <c r="E1095" t="s">
        <v>20</v>
      </c>
      <c r="F1095" t="s">
        <v>3202</v>
      </c>
      <c r="G1095" t="s">
        <v>3445</v>
      </c>
      <c r="H1095" t="s">
        <v>3200</v>
      </c>
      <c r="I1095" t="s">
        <v>1344</v>
      </c>
    </row>
    <row r="1096" spans="1:9">
      <c r="A1096" t="str">
        <f>"0020216 "</f>
        <v xml:space="preserve">0020216 </v>
      </c>
      <c r="B1096" t="s">
        <v>3441</v>
      </c>
      <c r="C1096" t="s">
        <v>3773</v>
      </c>
      <c r="D1096" t="s">
        <v>3774</v>
      </c>
      <c r="E1096">
        <v>1</v>
      </c>
      <c r="F1096" t="s">
        <v>3775</v>
      </c>
      <c r="G1096" t="s">
        <v>3445</v>
      </c>
      <c r="H1096" t="s">
        <v>3773</v>
      </c>
      <c r="I1096" t="s">
        <v>3776</v>
      </c>
    </row>
    <row r="1097" spans="1:9">
      <c r="A1097" t="str">
        <f>"0020218 "</f>
        <v xml:space="preserve">0020218 </v>
      </c>
      <c r="B1097" t="s">
        <v>3441</v>
      </c>
      <c r="C1097" t="s">
        <v>3207</v>
      </c>
      <c r="D1097" t="s">
        <v>3777</v>
      </c>
      <c r="E1097">
        <v>4</v>
      </c>
      <c r="F1097" t="s">
        <v>3209</v>
      </c>
      <c r="G1097" t="s">
        <v>3445</v>
      </c>
      <c r="H1097" t="s">
        <v>3207</v>
      </c>
      <c r="I1097" t="s">
        <v>3210</v>
      </c>
    </row>
    <row r="1098" spans="1:9">
      <c r="A1098" t="str">
        <f>"0033803 "</f>
        <v xml:space="preserve">0033803 </v>
      </c>
      <c r="B1098" t="s">
        <v>3441</v>
      </c>
      <c r="C1098" t="s">
        <v>3215</v>
      </c>
      <c r="D1098" t="s">
        <v>3778</v>
      </c>
      <c r="E1098">
        <v>3</v>
      </c>
      <c r="F1098" t="s">
        <v>1546</v>
      </c>
      <c r="G1098" t="s">
        <v>3445</v>
      </c>
      <c r="H1098" t="s">
        <v>3215</v>
      </c>
      <c r="I1098" t="s">
        <v>3217</v>
      </c>
    </row>
    <row r="1099" spans="1:9">
      <c r="A1099" t="str">
        <f>"0010040 "</f>
        <v xml:space="preserve">0010040 </v>
      </c>
      <c r="B1099" t="s">
        <v>3441</v>
      </c>
      <c r="C1099" t="s">
        <v>3218</v>
      </c>
      <c r="D1099" t="s">
        <v>3779</v>
      </c>
      <c r="E1099">
        <v>1</v>
      </c>
      <c r="F1099" t="s">
        <v>3220</v>
      </c>
      <c r="G1099" t="s">
        <v>3445</v>
      </c>
      <c r="H1099" t="s">
        <v>3218</v>
      </c>
      <c r="I1099" t="s">
        <v>3221</v>
      </c>
    </row>
    <row r="1100" spans="1:9">
      <c r="A1100" t="str">
        <f>"0010041 "</f>
        <v xml:space="preserve">0010041 </v>
      </c>
      <c r="B1100" t="s">
        <v>3441</v>
      </c>
      <c r="C1100" t="s">
        <v>3780</v>
      </c>
      <c r="D1100" t="s">
        <v>3781</v>
      </c>
      <c r="E1100">
        <v>1</v>
      </c>
      <c r="F1100" t="s">
        <v>3782</v>
      </c>
      <c r="G1100" t="s">
        <v>3445</v>
      </c>
      <c r="H1100" t="s">
        <v>3780</v>
      </c>
      <c r="I1100" t="s">
        <v>3221</v>
      </c>
    </row>
    <row r="1101" spans="1:9">
      <c r="A1101" t="str">
        <f>"0010055 "</f>
        <v xml:space="preserve">0010055 </v>
      </c>
      <c r="B1101" t="s">
        <v>3441</v>
      </c>
      <c r="C1101" t="s">
        <v>3222</v>
      </c>
      <c r="D1101" t="s">
        <v>3783</v>
      </c>
      <c r="E1101">
        <v>1</v>
      </c>
      <c r="F1101" t="s">
        <v>3224</v>
      </c>
      <c r="G1101" t="s">
        <v>3445</v>
      </c>
      <c r="H1101" t="s">
        <v>3222</v>
      </c>
      <c r="I1101" t="s">
        <v>3225</v>
      </c>
    </row>
    <row r="1102" spans="1:9">
      <c r="A1102" t="str">
        <f>"0010057 "</f>
        <v xml:space="preserve">0010057 </v>
      </c>
      <c r="B1102" t="s">
        <v>3441</v>
      </c>
      <c r="C1102" t="s">
        <v>3230</v>
      </c>
      <c r="D1102" t="s">
        <v>3784</v>
      </c>
      <c r="E1102">
        <v>1</v>
      </c>
      <c r="F1102" t="s">
        <v>3232</v>
      </c>
      <c r="G1102" t="s">
        <v>3445</v>
      </c>
      <c r="H1102" t="s">
        <v>3230</v>
      </c>
      <c r="I1102" t="s">
        <v>3233</v>
      </c>
    </row>
    <row r="1103" spans="1:9">
      <c r="A1103" t="str">
        <f>"0010059 "</f>
        <v xml:space="preserve">0010059 </v>
      </c>
      <c r="B1103" t="s">
        <v>3441</v>
      </c>
      <c r="C1103" t="s">
        <v>3234</v>
      </c>
      <c r="D1103" t="s">
        <v>3785</v>
      </c>
      <c r="E1103">
        <v>1</v>
      </c>
      <c r="F1103" t="s">
        <v>3236</v>
      </c>
      <c r="G1103" t="s">
        <v>3445</v>
      </c>
      <c r="H1103" t="s">
        <v>3234</v>
      </c>
      <c r="I1103" t="s">
        <v>3237</v>
      </c>
    </row>
    <row r="1104" spans="1:9">
      <c r="A1104" t="str">
        <f>"0010065 "</f>
        <v xml:space="preserve">0010065 </v>
      </c>
      <c r="B1104" t="s">
        <v>3441</v>
      </c>
      <c r="C1104" t="s">
        <v>3238</v>
      </c>
      <c r="D1104" t="s">
        <v>3786</v>
      </c>
      <c r="E1104" t="s">
        <v>20</v>
      </c>
      <c r="F1104" t="s">
        <v>3240</v>
      </c>
      <c r="G1104" t="s">
        <v>3445</v>
      </c>
      <c r="H1104" t="s">
        <v>3238</v>
      </c>
      <c r="I1104" t="s">
        <v>3241</v>
      </c>
    </row>
    <row r="1105" spans="1:9">
      <c r="A1105" t="str">
        <f>"0010071 "</f>
        <v xml:space="preserve">0010071 </v>
      </c>
      <c r="B1105" t="s">
        <v>3441</v>
      </c>
      <c r="C1105" t="s">
        <v>3787</v>
      </c>
      <c r="D1105" t="s">
        <v>3788</v>
      </c>
      <c r="E1105">
        <v>1</v>
      </c>
      <c r="F1105" t="s">
        <v>3789</v>
      </c>
      <c r="G1105" t="s">
        <v>3445</v>
      </c>
      <c r="H1105" t="s">
        <v>3787</v>
      </c>
      <c r="I1105" t="s">
        <v>3790</v>
      </c>
    </row>
    <row r="1106" spans="1:9">
      <c r="A1106" t="str">
        <f>"0010076 "</f>
        <v xml:space="preserve">0010076 </v>
      </c>
      <c r="B1106" t="s">
        <v>3441</v>
      </c>
      <c r="C1106" t="s">
        <v>3246</v>
      </c>
      <c r="D1106" t="s">
        <v>3791</v>
      </c>
      <c r="E1106">
        <v>1</v>
      </c>
      <c r="F1106" t="s">
        <v>3248</v>
      </c>
      <c r="G1106" t="s">
        <v>3445</v>
      </c>
      <c r="H1106" t="s">
        <v>3246</v>
      </c>
      <c r="I1106" t="s">
        <v>3249</v>
      </c>
    </row>
    <row r="1107" spans="1:9">
      <c r="A1107" t="str">
        <f>"0010079 "</f>
        <v xml:space="preserve">0010079 </v>
      </c>
      <c r="B1107" t="s">
        <v>3441</v>
      </c>
      <c r="C1107" t="s">
        <v>3250</v>
      </c>
      <c r="D1107" t="s">
        <v>3792</v>
      </c>
      <c r="E1107">
        <v>1</v>
      </c>
      <c r="F1107" t="s">
        <v>3252</v>
      </c>
      <c r="G1107" t="s">
        <v>3445</v>
      </c>
      <c r="H1107" t="s">
        <v>3250</v>
      </c>
      <c r="I1107" t="s">
        <v>1213</v>
      </c>
    </row>
    <row r="1108" spans="1:9">
      <c r="A1108" t="str">
        <f>"0010082 "</f>
        <v xml:space="preserve">0010082 </v>
      </c>
      <c r="B1108" t="s">
        <v>3441</v>
      </c>
      <c r="C1108" t="s">
        <v>3793</v>
      </c>
      <c r="D1108" t="s">
        <v>3794</v>
      </c>
      <c r="E1108">
        <v>1</v>
      </c>
      <c r="F1108" t="s">
        <v>3795</v>
      </c>
      <c r="G1108" t="s">
        <v>3445</v>
      </c>
      <c r="H1108" t="s">
        <v>3793</v>
      </c>
      <c r="I1108" t="s">
        <v>3796</v>
      </c>
    </row>
    <row r="1109" spans="1:9">
      <c r="A1109" t="str">
        <f>"0010084 "</f>
        <v xml:space="preserve">0010084 </v>
      </c>
      <c r="B1109" t="s">
        <v>3441</v>
      </c>
      <c r="C1109" t="s">
        <v>3253</v>
      </c>
      <c r="D1109" t="s">
        <v>3797</v>
      </c>
      <c r="E1109">
        <v>1</v>
      </c>
      <c r="F1109" t="s">
        <v>3255</v>
      </c>
      <c r="G1109" t="s">
        <v>3445</v>
      </c>
      <c r="H1109" t="s">
        <v>3253</v>
      </c>
      <c r="I1109" t="s">
        <v>3256</v>
      </c>
    </row>
    <row r="1110" spans="1:9">
      <c r="A1110" t="str">
        <f>"0010086 "</f>
        <v xml:space="preserve">0010086 </v>
      </c>
      <c r="B1110" t="s">
        <v>3441</v>
      </c>
      <c r="C1110" t="s">
        <v>3798</v>
      </c>
      <c r="D1110" t="s">
        <v>3799</v>
      </c>
      <c r="E1110" t="s">
        <v>20</v>
      </c>
      <c r="F1110" t="s">
        <v>3800</v>
      </c>
      <c r="G1110" t="s">
        <v>3445</v>
      </c>
      <c r="H1110" t="s">
        <v>3798</v>
      </c>
      <c r="I1110" t="s">
        <v>1205</v>
      </c>
    </row>
    <row r="1111" spans="1:9">
      <c r="A1111" t="str">
        <f>"0010087 "</f>
        <v xml:space="preserve">0010087 </v>
      </c>
      <c r="B1111" t="s">
        <v>3441</v>
      </c>
      <c r="C1111" t="s">
        <v>3261</v>
      </c>
      <c r="D1111" t="s">
        <v>3801</v>
      </c>
      <c r="E1111">
        <v>1</v>
      </c>
      <c r="F1111" t="s">
        <v>3263</v>
      </c>
      <c r="G1111" t="s">
        <v>3445</v>
      </c>
      <c r="H1111" t="s">
        <v>3261</v>
      </c>
      <c r="I1111" t="s">
        <v>3264</v>
      </c>
    </row>
    <row r="1112" spans="1:9">
      <c r="A1112" t="str">
        <f>"0010089 "</f>
        <v xml:space="preserve">0010089 </v>
      </c>
      <c r="B1112" t="s">
        <v>3441</v>
      </c>
      <c r="C1112" t="s">
        <v>3265</v>
      </c>
      <c r="D1112" t="s">
        <v>3802</v>
      </c>
      <c r="E1112" t="s">
        <v>20</v>
      </c>
      <c r="F1112" t="s">
        <v>3267</v>
      </c>
      <c r="G1112" t="s">
        <v>3445</v>
      </c>
      <c r="H1112" t="s">
        <v>3265</v>
      </c>
      <c r="I1112" t="s">
        <v>3268</v>
      </c>
    </row>
    <row r="1113" spans="1:9">
      <c r="A1113" t="str">
        <f>"0010091 "</f>
        <v xml:space="preserve">0010091 </v>
      </c>
      <c r="B1113" t="s">
        <v>3441</v>
      </c>
      <c r="C1113" t="s">
        <v>3269</v>
      </c>
      <c r="D1113" t="s">
        <v>3803</v>
      </c>
      <c r="E1113">
        <v>1</v>
      </c>
      <c r="F1113" t="s">
        <v>3271</v>
      </c>
      <c r="G1113" t="s">
        <v>3445</v>
      </c>
      <c r="H1113" t="s">
        <v>3269</v>
      </c>
      <c r="I1113" t="s">
        <v>3272</v>
      </c>
    </row>
    <row r="1114" spans="1:9">
      <c r="A1114" t="str">
        <f>"0010094 "</f>
        <v xml:space="preserve">0010094 </v>
      </c>
      <c r="B1114" t="s">
        <v>3441</v>
      </c>
      <c r="C1114" t="s">
        <v>3273</v>
      </c>
      <c r="D1114" t="s">
        <v>3804</v>
      </c>
      <c r="E1114">
        <v>1</v>
      </c>
      <c r="F1114" t="s">
        <v>3275</v>
      </c>
      <c r="G1114" t="s">
        <v>3445</v>
      </c>
      <c r="H1114" t="s">
        <v>3273</v>
      </c>
      <c r="I1114" t="s">
        <v>3276</v>
      </c>
    </row>
    <row r="1115" spans="1:9">
      <c r="A1115" t="str">
        <f>"0010099 "</f>
        <v xml:space="preserve">0010099 </v>
      </c>
      <c r="B1115" t="s">
        <v>3441</v>
      </c>
      <c r="C1115" t="s">
        <v>3805</v>
      </c>
      <c r="D1115" t="s">
        <v>3806</v>
      </c>
      <c r="E1115">
        <v>1</v>
      </c>
      <c r="F1115" t="s">
        <v>3807</v>
      </c>
      <c r="G1115" t="s">
        <v>3445</v>
      </c>
      <c r="H1115" t="s">
        <v>3805</v>
      </c>
      <c r="I1115" t="s">
        <v>3808</v>
      </c>
    </row>
    <row r="1116" spans="1:9">
      <c r="A1116" t="str">
        <f>"0015289 "</f>
        <v xml:space="preserve">0015289 </v>
      </c>
      <c r="B1116" t="s">
        <v>3441</v>
      </c>
      <c r="C1116" t="s">
        <v>3280</v>
      </c>
      <c r="D1116" t="s">
        <v>3809</v>
      </c>
      <c r="E1116">
        <v>1</v>
      </c>
      <c r="F1116" t="s">
        <v>3282</v>
      </c>
      <c r="G1116" t="s">
        <v>3445</v>
      </c>
      <c r="H1116" t="s">
        <v>3280</v>
      </c>
      <c r="I1116" t="s">
        <v>3283</v>
      </c>
    </row>
    <row r="1117" spans="1:9">
      <c r="A1117" t="str">
        <f>"0010102 "</f>
        <v xml:space="preserve">0010102 </v>
      </c>
      <c r="B1117" t="s">
        <v>3441</v>
      </c>
      <c r="C1117" t="s">
        <v>3284</v>
      </c>
      <c r="D1117" t="s">
        <v>3810</v>
      </c>
      <c r="E1117">
        <v>1</v>
      </c>
      <c r="F1117" t="s">
        <v>3286</v>
      </c>
      <c r="G1117" t="s">
        <v>3445</v>
      </c>
      <c r="H1117" t="s">
        <v>3284</v>
      </c>
      <c r="I1117" t="s">
        <v>1217</v>
      </c>
    </row>
    <row r="1118" spans="1:9">
      <c r="A1118" t="str">
        <f>"0010105 "</f>
        <v xml:space="preserve">0010105 </v>
      </c>
      <c r="B1118" t="s">
        <v>3441</v>
      </c>
      <c r="C1118" t="s">
        <v>3287</v>
      </c>
      <c r="D1118" t="s">
        <v>3811</v>
      </c>
      <c r="E1118">
        <v>1</v>
      </c>
      <c r="F1118" t="s">
        <v>3289</v>
      </c>
      <c r="G1118" t="s">
        <v>3445</v>
      </c>
      <c r="H1118" t="s">
        <v>3287</v>
      </c>
      <c r="I1118" t="s">
        <v>3290</v>
      </c>
    </row>
    <row r="1119" spans="1:9">
      <c r="A1119" t="str">
        <f>"0010107 "</f>
        <v xml:space="preserve">0010107 </v>
      </c>
      <c r="B1119" t="s">
        <v>3441</v>
      </c>
      <c r="C1119" t="s">
        <v>3295</v>
      </c>
      <c r="D1119" t="s">
        <v>3812</v>
      </c>
      <c r="E1119">
        <v>1</v>
      </c>
      <c r="F1119" t="s">
        <v>3066</v>
      </c>
      <c r="G1119" t="s">
        <v>3445</v>
      </c>
      <c r="H1119" t="s">
        <v>3295</v>
      </c>
      <c r="I1119" t="s">
        <v>1249</v>
      </c>
    </row>
    <row r="1120" spans="1:9">
      <c r="A1120" t="str">
        <f>"0010109 "</f>
        <v xml:space="preserve">0010109 </v>
      </c>
      <c r="B1120" t="s">
        <v>3441</v>
      </c>
      <c r="C1120" t="s">
        <v>3813</v>
      </c>
      <c r="D1120" t="s">
        <v>3814</v>
      </c>
      <c r="E1120">
        <v>3</v>
      </c>
      <c r="F1120" t="s">
        <v>3815</v>
      </c>
      <c r="G1120" t="s">
        <v>3445</v>
      </c>
      <c r="H1120" t="s">
        <v>3813</v>
      </c>
      <c r="I1120" t="s">
        <v>1229</v>
      </c>
    </row>
    <row r="1121" spans="1:9">
      <c r="A1121" t="str">
        <f>"0010115 "</f>
        <v xml:space="preserve">0010115 </v>
      </c>
      <c r="B1121" t="s">
        <v>3441</v>
      </c>
      <c r="C1121" t="s">
        <v>3309</v>
      </c>
      <c r="D1121" t="s">
        <v>3816</v>
      </c>
      <c r="E1121">
        <v>1</v>
      </c>
      <c r="F1121" t="s">
        <v>3311</v>
      </c>
      <c r="G1121" t="s">
        <v>3445</v>
      </c>
      <c r="H1121" t="s">
        <v>3309</v>
      </c>
      <c r="I1121" t="s">
        <v>3312</v>
      </c>
    </row>
    <row r="1122" spans="1:9">
      <c r="A1122" t="str">
        <f>"0153068 "</f>
        <v xml:space="preserve">0153068 </v>
      </c>
      <c r="B1122" t="s">
        <v>3441</v>
      </c>
      <c r="C1122" t="s">
        <v>3817</v>
      </c>
      <c r="D1122" t="s">
        <v>3818</v>
      </c>
      <c r="E1122">
        <v>1</v>
      </c>
      <c r="F1122" t="s">
        <v>2670</v>
      </c>
      <c r="G1122" t="s">
        <v>3445</v>
      </c>
      <c r="H1122" t="s">
        <v>3817</v>
      </c>
      <c r="I1122" t="s">
        <v>3819</v>
      </c>
    </row>
    <row r="1123" spans="1:9">
      <c r="A1123" t="str">
        <f>"0010118 "</f>
        <v xml:space="preserve">0010118 </v>
      </c>
      <c r="B1123" t="s">
        <v>3441</v>
      </c>
      <c r="C1123" t="s">
        <v>3313</v>
      </c>
      <c r="D1123" t="s">
        <v>3820</v>
      </c>
      <c r="E1123" t="s">
        <v>20</v>
      </c>
      <c r="F1123" t="s">
        <v>3315</v>
      </c>
      <c r="G1123" t="s">
        <v>3445</v>
      </c>
      <c r="H1123" t="s">
        <v>3313</v>
      </c>
      <c r="I1123" t="s">
        <v>3316</v>
      </c>
    </row>
    <row r="1124" spans="1:9">
      <c r="A1124" t="str">
        <f>"0010119 "</f>
        <v xml:space="preserve">0010119 </v>
      </c>
      <c r="B1124" t="s">
        <v>3441</v>
      </c>
      <c r="C1124" t="s">
        <v>3317</v>
      </c>
      <c r="D1124" t="s">
        <v>3821</v>
      </c>
      <c r="E1124" t="s">
        <v>20</v>
      </c>
      <c r="F1124" t="s">
        <v>3319</v>
      </c>
      <c r="G1124" t="s">
        <v>3445</v>
      </c>
      <c r="H1124" t="s">
        <v>3317</v>
      </c>
      <c r="I1124" t="s">
        <v>1288</v>
      </c>
    </row>
    <row r="1125" spans="1:9">
      <c r="A1125" t="str">
        <f>"0010122 "</f>
        <v xml:space="preserve">0010122 </v>
      </c>
      <c r="B1125" t="s">
        <v>3441</v>
      </c>
      <c r="C1125" t="s">
        <v>3320</v>
      </c>
      <c r="D1125" t="s">
        <v>3822</v>
      </c>
      <c r="E1125">
        <v>1</v>
      </c>
      <c r="F1125" t="s">
        <v>3293</v>
      </c>
      <c r="G1125" t="s">
        <v>3445</v>
      </c>
      <c r="H1125" t="s">
        <v>3320</v>
      </c>
      <c r="I1125" t="s">
        <v>3322</v>
      </c>
    </row>
    <row r="1126" spans="1:9">
      <c r="A1126" t="str">
        <f>"0010123 "</f>
        <v xml:space="preserve">0010123 </v>
      </c>
      <c r="B1126" t="s">
        <v>3441</v>
      </c>
      <c r="C1126" t="s">
        <v>3823</v>
      </c>
      <c r="D1126" t="s">
        <v>3824</v>
      </c>
      <c r="E1126">
        <v>1</v>
      </c>
      <c r="F1126" t="s">
        <v>3004</v>
      </c>
      <c r="G1126" t="s">
        <v>3445</v>
      </c>
      <c r="H1126" t="s">
        <v>3823</v>
      </c>
      <c r="I1126" t="s">
        <v>3825</v>
      </c>
    </row>
    <row r="1127" spans="1:9">
      <c r="A1127" t="str">
        <f>"0010130 "</f>
        <v xml:space="preserve">0010130 </v>
      </c>
      <c r="B1127" t="s">
        <v>3441</v>
      </c>
      <c r="C1127" t="s">
        <v>3331</v>
      </c>
      <c r="D1127" t="s">
        <v>3826</v>
      </c>
      <c r="E1127">
        <v>1</v>
      </c>
      <c r="F1127" t="s">
        <v>3333</v>
      </c>
      <c r="G1127" t="s">
        <v>3445</v>
      </c>
      <c r="H1127" t="s">
        <v>3331</v>
      </c>
      <c r="I1127" t="s">
        <v>3334</v>
      </c>
    </row>
    <row r="1128" spans="1:9">
      <c r="A1128" t="str">
        <f>"0018879 "</f>
        <v xml:space="preserve">0018879 </v>
      </c>
      <c r="B1128" t="s">
        <v>3441</v>
      </c>
      <c r="C1128" t="s">
        <v>3335</v>
      </c>
      <c r="D1128" t="s">
        <v>3827</v>
      </c>
      <c r="E1128">
        <v>2</v>
      </c>
      <c r="F1128" t="s">
        <v>3337</v>
      </c>
      <c r="G1128" t="s">
        <v>3445</v>
      </c>
      <c r="H1128" t="s">
        <v>3335</v>
      </c>
      <c r="I1128" t="s">
        <v>1310</v>
      </c>
    </row>
    <row r="1129" spans="1:9">
      <c r="A1129" t="str">
        <f>"0010147 "</f>
        <v xml:space="preserve">0010147 </v>
      </c>
      <c r="B1129" t="s">
        <v>3441</v>
      </c>
      <c r="C1129" t="s">
        <v>3341</v>
      </c>
      <c r="D1129" t="s">
        <v>3828</v>
      </c>
      <c r="E1129">
        <v>1</v>
      </c>
      <c r="F1129" t="s">
        <v>3343</v>
      </c>
      <c r="G1129" t="s">
        <v>3445</v>
      </c>
      <c r="H1129" t="s">
        <v>3341</v>
      </c>
      <c r="I1129" t="s">
        <v>3344</v>
      </c>
    </row>
    <row r="1130" spans="1:9">
      <c r="A1130" t="str">
        <f>"0039049 "</f>
        <v xml:space="preserve">0039049 </v>
      </c>
      <c r="B1130" t="s">
        <v>3441</v>
      </c>
      <c r="C1130" t="s">
        <v>3829</v>
      </c>
      <c r="D1130" t="s">
        <v>3830</v>
      </c>
      <c r="E1130">
        <v>1</v>
      </c>
      <c r="F1130" t="s">
        <v>3831</v>
      </c>
      <c r="G1130" t="s">
        <v>3445</v>
      </c>
      <c r="H1130" t="s">
        <v>3829</v>
      </c>
      <c r="I1130" t="s">
        <v>3832</v>
      </c>
    </row>
    <row r="1131" spans="1:9">
      <c r="A1131" t="str">
        <f>"0010149 "</f>
        <v xml:space="preserve">0010149 </v>
      </c>
      <c r="B1131" t="s">
        <v>3441</v>
      </c>
      <c r="C1131" t="s">
        <v>3345</v>
      </c>
      <c r="D1131" t="s">
        <v>3833</v>
      </c>
      <c r="E1131">
        <v>1</v>
      </c>
      <c r="F1131" t="s">
        <v>3347</v>
      </c>
      <c r="G1131" t="s">
        <v>3445</v>
      </c>
      <c r="H1131" t="s">
        <v>3345</v>
      </c>
      <c r="I1131" t="s">
        <v>3348</v>
      </c>
    </row>
    <row r="1132" spans="1:9">
      <c r="A1132" t="str">
        <f>"0018880 "</f>
        <v xml:space="preserve">0018880 </v>
      </c>
      <c r="B1132" t="s">
        <v>3441</v>
      </c>
      <c r="C1132" t="s">
        <v>3353</v>
      </c>
      <c r="D1132" t="s">
        <v>3834</v>
      </c>
      <c r="E1132">
        <v>1</v>
      </c>
      <c r="F1132" t="s">
        <v>3355</v>
      </c>
      <c r="G1132" t="s">
        <v>3445</v>
      </c>
      <c r="H1132" t="s">
        <v>3353</v>
      </c>
      <c r="I1132" t="s">
        <v>3356</v>
      </c>
    </row>
    <row r="1133" spans="1:9">
      <c r="A1133" t="str">
        <f>"0010161 "</f>
        <v xml:space="preserve">0010161 </v>
      </c>
      <c r="B1133" t="s">
        <v>3441</v>
      </c>
      <c r="C1133" t="s">
        <v>3361</v>
      </c>
      <c r="D1133" t="s">
        <v>3835</v>
      </c>
      <c r="E1133">
        <v>1</v>
      </c>
      <c r="F1133" t="s">
        <v>3363</v>
      </c>
      <c r="G1133" t="s">
        <v>3445</v>
      </c>
      <c r="H1133" t="s">
        <v>3361</v>
      </c>
      <c r="I1133" t="s">
        <v>3364</v>
      </c>
    </row>
    <row r="1134" spans="1:9">
      <c r="A1134" t="str">
        <f>"0010171 "</f>
        <v xml:space="preserve">0010171 </v>
      </c>
      <c r="B1134" t="s">
        <v>3441</v>
      </c>
      <c r="C1134" t="s">
        <v>3365</v>
      </c>
      <c r="D1134" t="s">
        <v>3836</v>
      </c>
      <c r="E1134">
        <v>2</v>
      </c>
      <c r="F1134" t="s">
        <v>3367</v>
      </c>
      <c r="G1134" t="s">
        <v>3445</v>
      </c>
      <c r="H1134" t="s">
        <v>3365</v>
      </c>
      <c r="I1134" t="s">
        <v>3368</v>
      </c>
    </row>
    <row r="1135" spans="1:9">
      <c r="A1135" t="str">
        <f>"0010173 "</f>
        <v xml:space="preserve">0010173 </v>
      </c>
      <c r="B1135" t="s">
        <v>3441</v>
      </c>
      <c r="C1135" t="s">
        <v>3372</v>
      </c>
      <c r="D1135" t="s">
        <v>3837</v>
      </c>
      <c r="E1135">
        <v>3</v>
      </c>
      <c r="F1135" t="s">
        <v>3374</v>
      </c>
      <c r="G1135" t="s">
        <v>3445</v>
      </c>
      <c r="H1135" t="s">
        <v>3372</v>
      </c>
      <c r="I1135" t="s">
        <v>3375</v>
      </c>
    </row>
    <row r="1136" spans="1:9">
      <c r="A1136" t="str">
        <f>"0010181 "</f>
        <v xml:space="preserve">0010181 </v>
      </c>
      <c r="B1136" t="s">
        <v>3441</v>
      </c>
      <c r="C1136" t="s">
        <v>3384</v>
      </c>
      <c r="D1136" t="s">
        <v>3838</v>
      </c>
      <c r="E1136">
        <v>1</v>
      </c>
      <c r="F1136" t="s">
        <v>3386</v>
      </c>
      <c r="G1136" t="s">
        <v>3445</v>
      </c>
      <c r="H1136" t="s">
        <v>3384</v>
      </c>
      <c r="I1136" t="s">
        <v>3387</v>
      </c>
    </row>
    <row r="1137" spans="1:9">
      <c r="A1137" t="str">
        <f>"0018883 "</f>
        <v xml:space="preserve">0018883 </v>
      </c>
      <c r="B1137" t="s">
        <v>3441</v>
      </c>
      <c r="C1137" t="s">
        <v>3388</v>
      </c>
      <c r="D1137" t="s">
        <v>3839</v>
      </c>
      <c r="E1137" t="s">
        <v>20</v>
      </c>
      <c r="F1137" t="s">
        <v>3390</v>
      </c>
      <c r="G1137" t="s">
        <v>3445</v>
      </c>
      <c r="H1137" t="s">
        <v>3388</v>
      </c>
      <c r="I1137" t="s">
        <v>3391</v>
      </c>
    </row>
    <row r="1138" spans="1:9">
      <c r="A1138" t="str">
        <f>"0010182 "</f>
        <v xml:space="preserve">0010182 </v>
      </c>
      <c r="B1138" t="s">
        <v>3441</v>
      </c>
      <c r="C1138" t="s">
        <v>3396</v>
      </c>
      <c r="D1138" t="s">
        <v>3840</v>
      </c>
      <c r="E1138">
        <v>1</v>
      </c>
      <c r="F1138" t="s">
        <v>112</v>
      </c>
      <c r="G1138" t="s">
        <v>3445</v>
      </c>
      <c r="H1138" t="s">
        <v>3396</v>
      </c>
      <c r="I1138" t="s">
        <v>3398</v>
      </c>
    </row>
    <row r="1139" spans="1:9">
      <c r="A1139" t="str">
        <f>"0010187 "</f>
        <v xml:space="preserve">0010187 </v>
      </c>
      <c r="B1139" t="s">
        <v>3441</v>
      </c>
      <c r="C1139" t="s">
        <v>3841</v>
      </c>
      <c r="D1139" t="s">
        <v>3842</v>
      </c>
      <c r="E1139">
        <v>1</v>
      </c>
      <c r="F1139" t="s">
        <v>3070</v>
      </c>
      <c r="G1139" t="s">
        <v>3445</v>
      </c>
      <c r="H1139" t="s">
        <v>3841</v>
      </c>
      <c r="I1139" t="s">
        <v>3843</v>
      </c>
    </row>
    <row r="1140" spans="1:9">
      <c r="A1140" t="str">
        <f>"0018884 "</f>
        <v xml:space="preserve">0018884 </v>
      </c>
      <c r="B1140" t="s">
        <v>3441</v>
      </c>
      <c r="C1140" t="s">
        <v>3844</v>
      </c>
      <c r="D1140" t="s">
        <v>3845</v>
      </c>
      <c r="E1140">
        <v>1</v>
      </c>
      <c r="F1140" t="s">
        <v>3846</v>
      </c>
      <c r="G1140" t="s">
        <v>3445</v>
      </c>
      <c r="H1140" t="s">
        <v>3844</v>
      </c>
      <c r="I1140" t="s">
        <v>3847</v>
      </c>
    </row>
    <row r="1141" spans="1:9">
      <c r="A1141" t="str">
        <f>"0018886 "</f>
        <v xml:space="preserve">0018886 </v>
      </c>
      <c r="B1141" t="s">
        <v>3441</v>
      </c>
      <c r="C1141" t="s">
        <v>3399</v>
      </c>
      <c r="D1141" t="s">
        <v>3848</v>
      </c>
      <c r="E1141">
        <v>5</v>
      </c>
      <c r="F1141" t="s">
        <v>1540</v>
      </c>
      <c r="G1141" t="s">
        <v>3445</v>
      </c>
      <c r="H1141" t="s">
        <v>3399</v>
      </c>
      <c r="I1141" t="s">
        <v>3401</v>
      </c>
    </row>
    <row r="1142" spans="1:9">
      <c r="A1142" t="str">
        <f>"0015361 "</f>
        <v xml:space="preserve">0015361 </v>
      </c>
      <c r="B1142" t="s">
        <v>3441</v>
      </c>
      <c r="C1142" t="s">
        <v>3402</v>
      </c>
      <c r="D1142" t="s">
        <v>3849</v>
      </c>
      <c r="E1142">
        <v>1</v>
      </c>
      <c r="F1142" t="s">
        <v>3404</v>
      </c>
      <c r="G1142" t="s">
        <v>3445</v>
      </c>
      <c r="H1142" t="s">
        <v>3402</v>
      </c>
      <c r="I1142" t="s">
        <v>3405</v>
      </c>
    </row>
    <row r="1143" spans="1:9">
      <c r="A1143" t="str">
        <f>"0020222 "</f>
        <v xml:space="preserve">0020222 </v>
      </c>
      <c r="B1143" t="s">
        <v>3441</v>
      </c>
      <c r="C1143" t="s">
        <v>3406</v>
      </c>
      <c r="D1143" t="s">
        <v>3850</v>
      </c>
      <c r="E1143">
        <v>4</v>
      </c>
      <c r="F1143" t="s">
        <v>3408</v>
      </c>
      <c r="G1143" t="s">
        <v>3445</v>
      </c>
      <c r="H1143" t="s">
        <v>3406</v>
      </c>
      <c r="I1143" t="s">
        <v>3409</v>
      </c>
    </row>
    <row r="1144" spans="1:9">
      <c r="A1144" t="str">
        <f>"0010193 "</f>
        <v xml:space="preserve">0010193 </v>
      </c>
      <c r="B1144" t="s">
        <v>3441</v>
      </c>
      <c r="C1144" t="s">
        <v>3410</v>
      </c>
      <c r="D1144" t="s">
        <v>3851</v>
      </c>
      <c r="E1144">
        <v>2</v>
      </c>
      <c r="F1144" t="s">
        <v>3412</v>
      </c>
      <c r="G1144" t="s">
        <v>3445</v>
      </c>
      <c r="H1144" t="s">
        <v>3410</v>
      </c>
      <c r="I1144" t="s">
        <v>3413</v>
      </c>
    </row>
    <row r="1145" spans="1:9">
      <c r="A1145" t="str">
        <f>"0038081 "</f>
        <v xml:space="preserve">0038081 </v>
      </c>
      <c r="B1145" t="s">
        <v>3441</v>
      </c>
      <c r="C1145" t="s">
        <v>3852</v>
      </c>
      <c r="D1145" t="s">
        <v>3853</v>
      </c>
      <c r="E1145">
        <v>1</v>
      </c>
      <c r="F1145" t="s">
        <v>3854</v>
      </c>
      <c r="G1145" t="s">
        <v>3445</v>
      </c>
      <c r="H1145" t="s">
        <v>3852</v>
      </c>
      <c r="I1145" t="s">
        <v>3855</v>
      </c>
    </row>
    <row r="1146" spans="1:9">
      <c r="A1146" t="str">
        <f>"0018887 "</f>
        <v xml:space="preserve">0018887 </v>
      </c>
      <c r="B1146" t="s">
        <v>3441</v>
      </c>
      <c r="C1146" t="s">
        <v>3856</v>
      </c>
      <c r="D1146" t="s">
        <v>3857</v>
      </c>
      <c r="E1146">
        <v>1</v>
      </c>
      <c r="F1146" t="s">
        <v>3263</v>
      </c>
      <c r="G1146" t="s">
        <v>3445</v>
      </c>
      <c r="H1146" t="s">
        <v>3856</v>
      </c>
      <c r="I1146" t="s">
        <v>3858</v>
      </c>
    </row>
    <row r="1147" spans="1:9">
      <c r="A1147" t="str">
        <f>"0020223 "</f>
        <v xml:space="preserve">0020223 </v>
      </c>
      <c r="B1147" t="s">
        <v>3441</v>
      </c>
      <c r="C1147" t="s">
        <v>3418</v>
      </c>
      <c r="D1147" t="s">
        <v>3859</v>
      </c>
      <c r="E1147">
        <v>1</v>
      </c>
      <c r="F1147" t="s">
        <v>2666</v>
      </c>
      <c r="G1147" t="s">
        <v>3445</v>
      </c>
      <c r="H1147" t="s">
        <v>3418</v>
      </c>
      <c r="I1147" t="s">
        <v>3420</v>
      </c>
    </row>
    <row r="1148" spans="1:9">
      <c r="A1148" t="str">
        <f>"0018891 "</f>
        <v xml:space="preserve">0018891 </v>
      </c>
      <c r="B1148" t="s">
        <v>3441</v>
      </c>
      <c r="C1148" t="s">
        <v>3421</v>
      </c>
      <c r="D1148" t="s">
        <v>3860</v>
      </c>
      <c r="E1148">
        <v>2</v>
      </c>
      <c r="F1148" t="s">
        <v>3423</v>
      </c>
      <c r="G1148" t="s">
        <v>3445</v>
      </c>
      <c r="H1148" t="s">
        <v>3421</v>
      </c>
      <c r="I1148" t="s">
        <v>3424</v>
      </c>
    </row>
    <row r="1149" spans="1:9">
      <c r="A1149" t="str">
        <f>"0010234 "</f>
        <v xml:space="preserve">0010234 </v>
      </c>
      <c r="B1149" t="s">
        <v>3441</v>
      </c>
      <c r="C1149" t="s">
        <v>3861</v>
      </c>
      <c r="D1149" t="s">
        <v>3862</v>
      </c>
      <c r="E1149">
        <v>1</v>
      </c>
      <c r="F1149" t="s">
        <v>1510</v>
      </c>
      <c r="G1149" t="s">
        <v>3445</v>
      </c>
      <c r="H1149" t="s">
        <v>3861</v>
      </c>
      <c r="I1149" t="s">
        <v>3863</v>
      </c>
    </row>
    <row r="1150" spans="1:9">
      <c r="A1150" t="str">
        <f>"0015227 "</f>
        <v xml:space="preserve">0015227 </v>
      </c>
      <c r="B1150" t="s">
        <v>3864</v>
      </c>
      <c r="C1150" t="str">
        <f>"0015227"</f>
        <v>0015227</v>
      </c>
      <c r="D1150" t="s">
        <v>3865</v>
      </c>
      <c r="E1150" t="s">
        <v>20</v>
      </c>
      <c r="F1150" t="s">
        <v>106</v>
      </c>
      <c r="G1150" t="s">
        <v>3866</v>
      </c>
      <c r="H1150" t="str">
        <f>"0015227"</f>
        <v>0015227</v>
      </c>
    </row>
    <row r="1151" spans="1:9">
      <c r="A1151" t="str">
        <f>"0015277 "</f>
        <v xml:space="preserve">0015277 </v>
      </c>
      <c r="B1151" t="s">
        <v>3864</v>
      </c>
      <c r="C1151" t="str">
        <f>"0015277"</f>
        <v>0015277</v>
      </c>
      <c r="D1151" t="s">
        <v>3867</v>
      </c>
      <c r="E1151" t="s">
        <v>20</v>
      </c>
      <c r="F1151" t="s">
        <v>3868</v>
      </c>
      <c r="G1151" t="s">
        <v>3866</v>
      </c>
      <c r="H1151" t="str">
        <f>"0015277"</f>
        <v>0015277</v>
      </c>
    </row>
    <row r="1152" spans="1:9">
      <c r="A1152" t="str">
        <f>"0015278 "</f>
        <v xml:space="preserve">0015278 </v>
      </c>
      <c r="B1152" t="s">
        <v>3864</v>
      </c>
      <c r="C1152" t="str">
        <f>"0015278"</f>
        <v>0015278</v>
      </c>
      <c r="D1152" t="s">
        <v>3869</v>
      </c>
      <c r="E1152" t="s">
        <v>20</v>
      </c>
      <c r="F1152" t="s">
        <v>3870</v>
      </c>
      <c r="G1152" t="s">
        <v>3866</v>
      </c>
      <c r="H1152" t="str">
        <f>"0015278"</f>
        <v>0015278</v>
      </c>
    </row>
    <row r="1153" spans="1:8">
      <c r="A1153" t="str">
        <f>"0018923 "</f>
        <v xml:space="preserve">0018923 </v>
      </c>
      <c r="B1153" t="s">
        <v>3864</v>
      </c>
      <c r="C1153" t="str">
        <f>"0018923"</f>
        <v>0018923</v>
      </c>
      <c r="D1153" t="s">
        <v>3871</v>
      </c>
      <c r="E1153" t="s">
        <v>20</v>
      </c>
      <c r="F1153" t="s">
        <v>3872</v>
      </c>
      <c r="G1153" t="s">
        <v>3866</v>
      </c>
      <c r="H1153" t="str">
        <f>"0018923"</f>
        <v>0018923</v>
      </c>
    </row>
    <row r="1154" spans="1:8">
      <c r="A1154" t="str">
        <f>"0018924 "</f>
        <v xml:space="preserve">0018924 </v>
      </c>
      <c r="B1154" t="s">
        <v>3864</v>
      </c>
      <c r="C1154" t="str">
        <f>"0018924"</f>
        <v>0018924</v>
      </c>
      <c r="D1154" t="s">
        <v>3873</v>
      </c>
      <c r="E1154" t="s">
        <v>20</v>
      </c>
      <c r="F1154" t="s">
        <v>3874</v>
      </c>
      <c r="G1154" t="s">
        <v>3866</v>
      </c>
      <c r="H1154" t="str">
        <f>"0018924"</f>
        <v>0018924</v>
      </c>
    </row>
    <row r="1155" spans="1:8">
      <c r="A1155" t="str">
        <f>"0018925 "</f>
        <v xml:space="preserve">0018925 </v>
      </c>
      <c r="B1155" t="s">
        <v>3864</v>
      </c>
      <c r="C1155" t="str">
        <f>"0018925"</f>
        <v>0018925</v>
      </c>
      <c r="D1155" t="s">
        <v>3875</v>
      </c>
      <c r="E1155">
        <v>4</v>
      </c>
      <c r="F1155" t="s">
        <v>3876</v>
      </c>
      <c r="G1155" t="s">
        <v>3866</v>
      </c>
      <c r="H1155" t="str">
        <f>"0018925"</f>
        <v>0018925</v>
      </c>
    </row>
    <row r="1156" spans="1:8">
      <c r="A1156" t="str">
        <f>"0018926 "</f>
        <v xml:space="preserve">0018926 </v>
      </c>
      <c r="B1156" t="s">
        <v>3864</v>
      </c>
      <c r="C1156" t="str">
        <f>"0018926"</f>
        <v>0018926</v>
      </c>
      <c r="D1156" t="s">
        <v>3877</v>
      </c>
      <c r="E1156">
        <v>4</v>
      </c>
      <c r="F1156" t="s">
        <v>3878</v>
      </c>
      <c r="G1156" t="s">
        <v>3866</v>
      </c>
      <c r="H1156" t="str">
        <f>"0018926"</f>
        <v>0018926</v>
      </c>
    </row>
    <row r="1157" spans="1:8">
      <c r="A1157" t="str">
        <f>"0018927 "</f>
        <v xml:space="preserve">0018927 </v>
      </c>
      <c r="B1157" t="s">
        <v>3864</v>
      </c>
      <c r="C1157" t="str">
        <f>"0018927"</f>
        <v>0018927</v>
      </c>
      <c r="D1157" t="s">
        <v>3879</v>
      </c>
      <c r="E1157" t="s">
        <v>20</v>
      </c>
      <c r="F1157" t="s">
        <v>2356</v>
      </c>
      <c r="G1157" t="s">
        <v>3866</v>
      </c>
      <c r="H1157" t="str">
        <f>"0018927"</f>
        <v>0018927</v>
      </c>
    </row>
    <row r="1158" spans="1:8">
      <c r="A1158" t="str">
        <f>"0019132 "</f>
        <v xml:space="preserve">0019132 </v>
      </c>
      <c r="B1158" t="s">
        <v>3864</v>
      </c>
      <c r="C1158" t="str">
        <f>"0019132"</f>
        <v>0019132</v>
      </c>
      <c r="D1158" t="s">
        <v>3880</v>
      </c>
      <c r="E1158">
        <v>3</v>
      </c>
      <c r="F1158" t="s">
        <v>3881</v>
      </c>
      <c r="G1158" t="s">
        <v>3866</v>
      </c>
      <c r="H1158" t="str">
        <f>"0019132"</f>
        <v>0019132</v>
      </c>
    </row>
    <row r="1159" spans="1:8">
      <c r="A1159" t="str">
        <f>"0033742 "</f>
        <v xml:space="preserve">0033742 </v>
      </c>
      <c r="B1159" t="s">
        <v>3864</v>
      </c>
      <c r="C1159" t="str">
        <f>"0033742"</f>
        <v>0033742</v>
      </c>
      <c r="D1159" t="s">
        <v>3882</v>
      </c>
      <c r="E1159">
        <v>4</v>
      </c>
      <c r="F1159" t="s">
        <v>3883</v>
      </c>
      <c r="G1159" t="s">
        <v>3866</v>
      </c>
      <c r="H1159" t="str">
        <f>"0033742"</f>
        <v>0033742</v>
      </c>
    </row>
    <row r="1160" spans="1:8">
      <c r="A1160" t="str">
        <f>"0038481 "</f>
        <v xml:space="preserve">0038481 </v>
      </c>
      <c r="B1160" t="s">
        <v>3864</v>
      </c>
      <c r="C1160" t="str">
        <f>"0038481"</f>
        <v>0038481</v>
      </c>
      <c r="D1160" t="s">
        <v>3884</v>
      </c>
      <c r="E1160" t="s">
        <v>20</v>
      </c>
      <c r="F1160" t="s">
        <v>3885</v>
      </c>
      <c r="G1160" t="s">
        <v>3866</v>
      </c>
      <c r="H1160" t="str">
        <f>"0038481"</f>
        <v>0038481</v>
      </c>
    </row>
    <row r="1161" spans="1:8">
      <c r="A1161" t="str">
        <f>"0038482 "</f>
        <v xml:space="preserve">0038482 </v>
      </c>
      <c r="B1161" t="s">
        <v>3864</v>
      </c>
      <c r="C1161" t="str">
        <f>"0038482"</f>
        <v>0038482</v>
      </c>
      <c r="D1161" t="s">
        <v>3886</v>
      </c>
      <c r="E1161">
        <v>4</v>
      </c>
      <c r="F1161" t="s">
        <v>3887</v>
      </c>
      <c r="G1161" t="s">
        <v>3866</v>
      </c>
      <c r="H1161" t="str">
        <f>"0038482"</f>
        <v>0038482</v>
      </c>
    </row>
    <row r="1162" spans="1:8">
      <c r="A1162" t="str">
        <f>"0038716 "</f>
        <v xml:space="preserve">0038716 </v>
      </c>
      <c r="B1162" t="s">
        <v>3864</v>
      </c>
      <c r="C1162" t="str">
        <f>"0038716"</f>
        <v>0038716</v>
      </c>
      <c r="D1162" t="s">
        <v>3888</v>
      </c>
      <c r="E1162">
        <v>1</v>
      </c>
      <c r="F1162" t="s">
        <v>3889</v>
      </c>
      <c r="G1162" t="s">
        <v>3866</v>
      </c>
      <c r="H1162" t="str">
        <f>"0038716"</f>
        <v>0038716</v>
      </c>
    </row>
    <row r="1163" spans="1:8">
      <c r="A1163" t="str">
        <f>"0038917 "</f>
        <v xml:space="preserve">0038917 </v>
      </c>
      <c r="B1163" t="s">
        <v>3864</v>
      </c>
      <c r="C1163" t="str">
        <f>"0038917"</f>
        <v>0038917</v>
      </c>
      <c r="D1163" t="s">
        <v>3890</v>
      </c>
      <c r="E1163" t="s">
        <v>20</v>
      </c>
      <c r="F1163" t="s">
        <v>3891</v>
      </c>
      <c r="G1163" t="s">
        <v>3866</v>
      </c>
      <c r="H1163" t="str">
        <f>"0038917"</f>
        <v>0038917</v>
      </c>
    </row>
    <row r="1164" spans="1:8">
      <c r="A1164" t="str">
        <f>"0050750 "</f>
        <v xml:space="preserve">0050750 </v>
      </c>
      <c r="B1164" t="s">
        <v>3864</v>
      </c>
      <c r="C1164" t="str">
        <f>"0050750"</f>
        <v>0050750</v>
      </c>
      <c r="D1164" t="s">
        <v>3892</v>
      </c>
      <c r="E1164" t="s">
        <v>20</v>
      </c>
      <c r="F1164" t="s">
        <v>3893</v>
      </c>
      <c r="G1164" t="s">
        <v>3866</v>
      </c>
      <c r="H1164" t="str">
        <f>"0050750"</f>
        <v>0050750</v>
      </c>
    </row>
    <row r="1165" spans="1:8">
      <c r="A1165" t="str">
        <f>"0050756 "</f>
        <v xml:space="preserve">0050756 </v>
      </c>
      <c r="B1165" t="s">
        <v>3864</v>
      </c>
      <c r="C1165" t="str">
        <f>"0050756"</f>
        <v>0050756</v>
      </c>
      <c r="D1165" t="s">
        <v>3894</v>
      </c>
      <c r="E1165">
        <v>2</v>
      </c>
      <c r="F1165" t="s">
        <v>3895</v>
      </c>
      <c r="G1165" t="s">
        <v>3866</v>
      </c>
      <c r="H1165" t="str">
        <f>"0050756"</f>
        <v>0050756</v>
      </c>
    </row>
    <row r="1166" spans="1:8">
      <c r="A1166" t="str">
        <f>"0137368 "</f>
        <v xml:space="preserve">0137368 </v>
      </c>
      <c r="B1166" t="s">
        <v>3864</v>
      </c>
      <c r="C1166" t="str">
        <f>"0137368"</f>
        <v>0137368</v>
      </c>
      <c r="D1166" t="s">
        <v>3896</v>
      </c>
      <c r="E1166">
        <v>4</v>
      </c>
      <c r="F1166" t="s">
        <v>3897</v>
      </c>
      <c r="G1166" t="s">
        <v>3866</v>
      </c>
      <c r="H1166" t="str">
        <f>"0137368"</f>
        <v>0137368</v>
      </c>
    </row>
    <row r="1167" spans="1:8">
      <c r="A1167" t="str">
        <f>"0137369 "</f>
        <v xml:space="preserve">0137369 </v>
      </c>
      <c r="B1167" t="s">
        <v>3864</v>
      </c>
      <c r="C1167" t="str">
        <f>"0137369"</f>
        <v>0137369</v>
      </c>
      <c r="D1167" t="s">
        <v>3898</v>
      </c>
      <c r="E1167" t="s">
        <v>20</v>
      </c>
      <c r="F1167" t="s">
        <v>3897</v>
      </c>
      <c r="G1167" t="s">
        <v>3866</v>
      </c>
      <c r="H1167" t="str">
        <f>"0137369"</f>
        <v>0137369</v>
      </c>
    </row>
    <row r="1168" spans="1:8">
      <c r="A1168" t="str">
        <f>"0153917 "</f>
        <v xml:space="preserve">0153917 </v>
      </c>
      <c r="B1168" t="s">
        <v>3864</v>
      </c>
      <c r="C1168" t="str">
        <f>"0153917"</f>
        <v>0153917</v>
      </c>
      <c r="D1168" t="s">
        <v>3899</v>
      </c>
      <c r="E1168">
        <v>2</v>
      </c>
      <c r="F1168" t="s">
        <v>3900</v>
      </c>
      <c r="G1168" t="s">
        <v>3866</v>
      </c>
      <c r="H1168" t="str">
        <f>"0153917"</f>
        <v>0153917</v>
      </c>
    </row>
    <row r="1169" spans="1:9">
      <c r="A1169" t="str">
        <f>"0153918 "</f>
        <v xml:space="preserve">0153918 </v>
      </c>
      <c r="B1169" t="s">
        <v>3864</v>
      </c>
      <c r="C1169" t="str">
        <f>"0153918"</f>
        <v>0153918</v>
      </c>
      <c r="D1169" t="s">
        <v>3901</v>
      </c>
      <c r="E1169">
        <v>2</v>
      </c>
      <c r="F1169" t="s">
        <v>3902</v>
      </c>
      <c r="G1169" t="s">
        <v>3866</v>
      </c>
      <c r="H1169" t="str">
        <f>"0153918"</f>
        <v>0153918</v>
      </c>
    </row>
    <row r="1170" spans="1:9">
      <c r="A1170" t="str">
        <f>"0153937 "</f>
        <v xml:space="preserve">0153937 </v>
      </c>
      <c r="B1170" t="s">
        <v>3864</v>
      </c>
      <c r="C1170" t="s">
        <v>3903</v>
      </c>
      <c r="D1170" t="s">
        <v>3904</v>
      </c>
      <c r="E1170">
        <v>1</v>
      </c>
      <c r="F1170" t="s">
        <v>3876</v>
      </c>
      <c r="G1170" t="s">
        <v>3905</v>
      </c>
      <c r="H1170" t="s">
        <v>3903</v>
      </c>
    </row>
    <row r="1171" spans="1:9">
      <c r="A1171" t="str">
        <f>"0012269 "</f>
        <v xml:space="preserve">0012269 </v>
      </c>
      <c r="B1171" t="s">
        <v>3864</v>
      </c>
      <c r="C1171">
        <v>150030</v>
      </c>
      <c r="D1171" t="s">
        <v>3906</v>
      </c>
      <c r="E1171" t="s">
        <v>20</v>
      </c>
      <c r="F1171" t="s">
        <v>3872</v>
      </c>
      <c r="G1171" t="s">
        <v>3905</v>
      </c>
      <c r="H1171">
        <v>150030</v>
      </c>
    </row>
    <row r="1172" spans="1:9">
      <c r="A1172" t="str">
        <f>"0231291 "</f>
        <v xml:space="preserve">0231291 </v>
      </c>
      <c r="B1172" t="s">
        <v>3864</v>
      </c>
      <c r="C1172">
        <v>231291</v>
      </c>
      <c r="D1172" t="s">
        <v>3907</v>
      </c>
      <c r="E1172">
        <v>1</v>
      </c>
      <c r="F1172" t="s">
        <v>3908</v>
      </c>
      <c r="G1172" t="s">
        <v>3866</v>
      </c>
      <c r="H1172">
        <v>231291</v>
      </c>
    </row>
    <row r="1173" spans="1:9">
      <c r="A1173" t="str">
        <f>"0153284 "</f>
        <v xml:space="preserve">0153284 </v>
      </c>
      <c r="B1173" t="s">
        <v>3864</v>
      </c>
      <c r="C1173" t="s">
        <v>3909</v>
      </c>
      <c r="D1173" t="s">
        <v>3910</v>
      </c>
      <c r="E1173" t="s">
        <v>20</v>
      </c>
      <c r="F1173" t="s">
        <v>3911</v>
      </c>
      <c r="G1173" t="s">
        <v>3866</v>
      </c>
      <c r="H1173" t="s">
        <v>3909</v>
      </c>
    </row>
    <row r="1174" spans="1:9">
      <c r="A1174" t="str">
        <f>"0153285 "</f>
        <v xml:space="preserve">0153285 </v>
      </c>
      <c r="B1174" t="s">
        <v>3864</v>
      </c>
      <c r="C1174" t="s">
        <v>3912</v>
      </c>
      <c r="D1174" t="s">
        <v>3913</v>
      </c>
      <c r="E1174" t="s">
        <v>20</v>
      </c>
      <c r="F1174" t="s">
        <v>3914</v>
      </c>
      <c r="G1174" t="s">
        <v>3866</v>
      </c>
      <c r="H1174" t="s">
        <v>3912</v>
      </c>
    </row>
    <row r="1175" spans="1:9">
      <c r="A1175" t="str">
        <f>"0132205 "</f>
        <v xml:space="preserve">0132205 </v>
      </c>
      <c r="B1175" t="s">
        <v>3915</v>
      </c>
      <c r="C1175" s="1">
        <v>1208300</v>
      </c>
      <c r="D1175" t="s">
        <v>3916</v>
      </c>
      <c r="E1175">
        <v>4</v>
      </c>
      <c r="F1175" t="s">
        <v>3917</v>
      </c>
      <c r="G1175" t="s">
        <v>3918</v>
      </c>
      <c r="H1175" s="1">
        <v>1208300</v>
      </c>
      <c r="I1175" t="s">
        <v>2375</v>
      </c>
    </row>
    <row r="1176" spans="1:9">
      <c r="A1176" t="str">
        <f>"0153006 "</f>
        <v xml:space="preserve">0153006 </v>
      </c>
      <c r="B1176" t="s">
        <v>3915</v>
      </c>
      <c r="C1176" t="s">
        <v>3919</v>
      </c>
      <c r="D1176" t="s">
        <v>3920</v>
      </c>
      <c r="E1176" t="s">
        <v>20</v>
      </c>
      <c r="F1176" t="s">
        <v>3921</v>
      </c>
      <c r="G1176" t="s">
        <v>3922</v>
      </c>
      <c r="H1176" t="s">
        <v>3919</v>
      </c>
      <c r="I1176" t="s">
        <v>3708</v>
      </c>
    </row>
    <row r="1177" spans="1:9">
      <c r="A1177" t="str">
        <f>"0218039 "</f>
        <v xml:space="preserve">0218039 </v>
      </c>
      <c r="B1177" t="s">
        <v>3915</v>
      </c>
      <c r="C1177" t="s">
        <v>3923</v>
      </c>
      <c r="D1177" t="s">
        <v>3924</v>
      </c>
      <c r="E1177" t="s">
        <v>20</v>
      </c>
      <c r="F1177" t="s">
        <v>3925</v>
      </c>
      <c r="G1177" t="s">
        <v>3922</v>
      </c>
      <c r="H1177" t="s">
        <v>3923</v>
      </c>
      <c r="I1177" t="s">
        <v>3926</v>
      </c>
    </row>
    <row r="1178" spans="1:9">
      <c r="A1178" t="str">
        <f>"0204447 "</f>
        <v xml:space="preserve">0204447 </v>
      </c>
      <c r="B1178" t="s">
        <v>3915</v>
      </c>
      <c r="C1178" t="s">
        <v>3927</v>
      </c>
      <c r="D1178" t="s">
        <v>3928</v>
      </c>
      <c r="E1178" t="s">
        <v>20</v>
      </c>
      <c r="F1178" t="s">
        <v>3929</v>
      </c>
      <c r="G1178" t="s">
        <v>3930</v>
      </c>
      <c r="H1178" t="s">
        <v>3927</v>
      </c>
      <c r="I1178" t="s">
        <v>3931</v>
      </c>
    </row>
    <row r="1179" spans="1:9">
      <c r="A1179" t="str">
        <f>"0204449 "</f>
        <v xml:space="preserve">0204449 </v>
      </c>
      <c r="B1179" t="s">
        <v>3915</v>
      </c>
      <c r="C1179" t="s">
        <v>3932</v>
      </c>
      <c r="D1179" t="s">
        <v>3933</v>
      </c>
      <c r="E1179" t="s">
        <v>20</v>
      </c>
      <c r="F1179" t="s">
        <v>3934</v>
      </c>
      <c r="G1179" t="s">
        <v>3930</v>
      </c>
      <c r="H1179" t="s">
        <v>3932</v>
      </c>
      <c r="I1179" t="s">
        <v>3935</v>
      </c>
    </row>
    <row r="1180" spans="1:9">
      <c r="A1180" t="str">
        <f>"0204448 "</f>
        <v xml:space="preserve">0204448 </v>
      </c>
      <c r="B1180" t="s">
        <v>3915</v>
      </c>
      <c r="C1180" t="s">
        <v>3936</v>
      </c>
      <c r="D1180" t="s">
        <v>3937</v>
      </c>
      <c r="E1180" t="s">
        <v>20</v>
      </c>
      <c r="F1180" t="s">
        <v>3938</v>
      </c>
      <c r="G1180" t="s">
        <v>3930</v>
      </c>
      <c r="H1180" t="s">
        <v>3936</v>
      </c>
      <c r="I1180" t="s">
        <v>3129</v>
      </c>
    </row>
    <row r="1181" spans="1:9">
      <c r="A1181" t="str">
        <f>"0204450 "</f>
        <v xml:space="preserve">0204450 </v>
      </c>
      <c r="B1181" t="s">
        <v>3915</v>
      </c>
      <c r="C1181" t="s">
        <v>3939</v>
      </c>
      <c r="D1181" t="s">
        <v>3940</v>
      </c>
      <c r="E1181" t="s">
        <v>20</v>
      </c>
      <c r="F1181" t="s">
        <v>3941</v>
      </c>
      <c r="G1181" t="s">
        <v>3930</v>
      </c>
      <c r="H1181" t="s">
        <v>3939</v>
      </c>
      <c r="I1181" t="s">
        <v>3942</v>
      </c>
    </row>
    <row r="1182" spans="1:9">
      <c r="A1182" t="str">
        <f>"0204364 "</f>
        <v xml:space="preserve">0204364 </v>
      </c>
      <c r="B1182" t="s">
        <v>3943</v>
      </c>
      <c r="C1182" t="str">
        <f>"83212365924"</f>
        <v>83212365924</v>
      </c>
      <c r="D1182" t="s">
        <v>3944</v>
      </c>
      <c r="E1182" t="s">
        <v>20</v>
      </c>
      <c r="F1182" t="s">
        <v>3945</v>
      </c>
      <c r="G1182" t="s">
        <v>3943</v>
      </c>
      <c r="H1182" t="str">
        <f>"83212365924"</f>
        <v>83212365924</v>
      </c>
    </row>
    <row r="1183" spans="1:9">
      <c r="A1183" t="str">
        <f>"0204365 "</f>
        <v xml:space="preserve">0204365 </v>
      </c>
      <c r="B1183" t="s">
        <v>3943</v>
      </c>
      <c r="C1183" t="str">
        <f>"83212365925"</f>
        <v>83212365925</v>
      </c>
      <c r="D1183" t="s">
        <v>3946</v>
      </c>
      <c r="E1183" t="s">
        <v>20</v>
      </c>
      <c r="F1183" t="s">
        <v>3947</v>
      </c>
      <c r="G1183" t="s">
        <v>3943</v>
      </c>
      <c r="H1183" t="str">
        <f>"83212365925"</f>
        <v>83212365925</v>
      </c>
    </row>
    <row r="1184" spans="1:9">
      <c r="A1184" t="str">
        <f>"0204361 "</f>
        <v xml:space="preserve">0204361 </v>
      </c>
      <c r="B1184" t="s">
        <v>3943</v>
      </c>
      <c r="C1184" t="str">
        <f>"83212365929"</f>
        <v>83212365929</v>
      </c>
      <c r="D1184" t="s">
        <v>3948</v>
      </c>
      <c r="E1184" t="s">
        <v>20</v>
      </c>
      <c r="F1184" t="s">
        <v>3949</v>
      </c>
      <c r="G1184" t="s">
        <v>3943</v>
      </c>
      <c r="H1184" t="str">
        <f>"83212365929"</f>
        <v>83212365929</v>
      </c>
    </row>
    <row r="1185" spans="1:8">
      <c r="A1185" t="str">
        <f>"0019155 "</f>
        <v xml:space="preserve">0019155 </v>
      </c>
      <c r="B1185" t="s">
        <v>3950</v>
      </c>
      <c r="C1185">
        <v>1343796</v>
      </c>
      <c r="D1185" t="s">
        <v>3951</v>
      </c>
      <c r="E1185" t="s">
        <v>20</v>
      </c>
      <c r="F1185" t="s">
        <v>3952</v>
      </c>
      <c r="G1185" t="s">
        <v>3950</v>
      </c>
      <c r="H1185">
        <v>1343796</v>
      </c>
    </row>
    <row r="1186" spans="1:8">
      <c r="A1186" t="str">
        <f>"0019152 "</f>
        <v xml:space="preserve">0019152 </v>
      </c>
      <c r="B1186" t="s">
        <v>3950</v>
      </c>
      <c r="C1186">
        <v>1502263</v>
      </c>
      <c r="D1186" t="s">
        <v>3953</v>
      </c>
      <c r="E1186">
        <v>4</v>
      </c>
      <c r="F1186" t="s">
        <v>3954</v>
      </c>
      <c r="G1186" t="s">
        <v>3950</v>
      </c>
      <c r="H1186">
        <v>1502263</v>
      </c>
    </row>
    <row r="1187" spans="1:8">
      <c r="A1187" t="str">
        <f>"0029093 "</f>
        <v xml:space="preserve">0029093 </v>
      </c>
      <c r="B1187" t="s">
        <v>3955</v>
      </c>
      <c r="C1187">
        <v>1942000</v>
      </c>
      <c r="D1187" t="s">
        <v>3956</v>
      </c>
      <c r="E1187" t="s">
        <v>20</v>
      </c>
      <c r="F1187" t="s">
        <v>3957</v>
      </c>
      <c r="G1187" t="s">
        <v>3955</v>
      </c>
      <c r="H1187">
        <v>1942000</v>
      </c>
    </row>
    <row r="1188" spans="1:8">
      <c r="A1188" t="str">
        <f>"0031840 "</f>
        <v xml:space="preserve">0031840 </v>
      </c>
      <c r="B1188" t="s">
        <v>3955</v>
      </c>
      <c r="C1188">
        <v>1942001</v>
      </c>
      <c r="D1188" t="s">
        <v>3958</v>
      </c>
      <c r="E1188">
        <v>5</v>
      </c>
      <c r="F1188" t="s">
        <v>3959</v>
      </c>
      <c r="G1188" t="s">
        <v>3955</v>
      </c>
      <c r="H1188">
        <v>1942001</v>
      </c>
    </row>
    <row r="1189" spans="1:8">
      <c r="A1189" t="str">
        <f>"0029094 "</f>
        <v xml:space="preserve">0029094 </v>
      </c>
      <c r="B1189" t="s">
        <v>3955</v>
      </c>
      <c r="C1189">
        <v>1942003</v>
      </c>
      <c r="D1189" t="s">
        <v>3960</v>
      </c>
      <c r="E1189" t="s">
        <v>20</v>
      </c>
      <c r="F1189" t="s">
        <v>3961</v>
      </c>
      <c r="G1189" t="s">
        <v>3955</v>
      </c>
      <c r="H1189">
        <v>1942003</v>
      </c>
    </row>
    <row r="1190" spans="1:8">
      <c r="A1190" t="str">
        <f>"0029095 "</f>
        <v xml:space="preserve">0029095 </v>
      </c>
      <c r="B1190" t="s">
        <v>3955</v>
      </c>
      <c r="C1190">
        <v>1942043</v>
      </c>
      <c r="D1190" t="s">
        <v>3962</v>
      </c>
      <c r="E1190" t="s">
        <v>20</v>
      </c>
      <c r="F1190" t="s">
        <v>3963</v>
      </c>
      <c r="G1190" t="s">
        <v>3955</v>
      </c>
      <c r="H1190">
        <v>1942043</v>
      </c>
    </row>
    <row r="1191" spans="1:8">
      <c r="A1191" t="str">
        <f>"0029097 "</f>
        <v xml:space="preserve">0029097 </v>
      </c>
      <c r="B1191" t="s">
        <v>3955</v>
      </c>
      <c r="C1191">
        <v>1942046</v>
      </c>
      <c r="D1191" t="s">
        <v>3964</v>
      </c>
      <c r="E1191" t="s">
        <v>20</v>
      </c>
      <c r="F1191" t="s">
        <v>3965</v>
      </c>
      <c r="G1191" t="s">
        <v>3955</v>
      </c>
      <c r="H1191">
        <v>1942046</v>
      </c>
    </row>
    <row r="1192" spans="1:8">
      <c r="A1192" t="str">
        <f>"0038672 "</f>
        <v xml:space="preserve">0038672 </v>
      </c>
      <c r="B1192" t="s">
        <v>3966</v>
      </c>
      <c r="C1192" t="str">
        <f>"08200-9008 DW-1"</f>
        <v>08200-9008 DW-1</v>
      </c>
      <c r="D1192" t="s">
        <v>3967</v>
      </c>
      <c r="E1192">
        <v>2</v>
      </c>
      <c r="F1192" t="s">
        <v>3968</v>
      </c>
      <c r="G1192" t="s">
        <v>3966</v>
      </c>
      <c r="H1192" t="str">
        <f>"08200-9008 DW-1"</f>
        <v>08200-9008 DW-1</v>
      </c>
    </row>
    <row r="1193" spans="1:8">
      <c r="A1193" t="str">
        <f>"0038937 "</f>
        <v xml:space="preserve">0038937 </v>
      </c>
      <c r="B1193" t="s">
        <v>3966</v>
      </c>
      <c r="C1193" t="str">
        <f>"08798-9032"</f>
        <v>08798-9032</v>
      </c>
      <c r="D1193" t="s">
        <v>3969</v>
      </c>
      <c r="E1193" t="s">
        <v>20</v>
      </c>
      <c r="F1193" t="s">
        <v>3970</v>
      </c>
      <c r="G1193" t="s">
        <v>3966</v>
      </c>
      <c r="H1193" t="str">
        <f>"08798-9032"</f>
        <v>08798-9032</v>
      </c>
    </row>
    <row r="1194" spans="1:8">
      <c r="A1194" t="str">
        <f>"0038734 "</f>
        <v xml:space="preserve">0038734 </v>
      </c>
      <c r="B1194" t="s">
        <v>3966</v>
      </c>
      <c r="C1194" t="str">
        <f>"08798-9034"</f>
        <v>08798-9034</v>
      </c>
      <c r="D1194" t="s">
        <v>3971</v>
      </c>
      <c r="E1194">
        <v>4</v>
      </c>
      <c r="F1194" t="s">
        <v>3970</v>
      </c>
      <c r="G1194" t="s">
        <v>3966</v>
      </c>
      <c r="H1194" t="str">
        <f>"08798-9034"</f>
        <v>08798-9034</v>
      </c>
    </row>
    <row r="1195" spans="1:8">
      <c r="A1195" t="str">
        <f>"0220094 "</f>
        <v xml:space="preserve">0220094 </v>
      </c>
      <c r="B1195" t="s">
        <v>3972</v>
      </c>
      <c r="C1195" t="str">
        <f>"888082641"</f>
        <v>888082641</v>
      </c>
      <c r="D1195" t="s">
        <v>3973</v>
      </c>
      <c r="E1195">
        <v>3</v>
      </c>
      <c r="F1195" t="s">
        <v>3974</v>
      </c>
      <c r="G1195" t="s">
        <v>3972</v>
      </c>
      <c r="H1195" t="str">
        <f>"888082641"</f>
        <v>888082641</v>
      </c>
    </row>
    <row r="1196" spans="1:8">
      <c r="A1196" t="str">
        <f>"0067675 "</f>
        <v xml:space="preserve">0067675 </v>
      </c>
      <c r="B1196" t="s">
        <v>3975</v>
      </c>
      <c r="C1196" t="str">
        <f>"0000-77-5W30-1qt"</f>
        <v>0000-77-5W30-1qt</v>
      </c>
      <c r="D1196" t="s">
        <v>3976</v>
      </c>
      <c r="E1196">
        <v>5</v>
      </c>
      <c r="F1196" t="s">
        <v>3977</v>
      </c>
      <c r="G1196" t="s">
        <v>3975</v>
      </c>
      <c r="H1196" t="str">
        <f>"0000-77-5W30-1qt"</f>
        <v>0000-77-5W30-1qt</v>
      </c>
    </row>
    <row r="1197" spans="1:8">
      <c r="A1197" t="str">
        <f>"0158900 "</f>
        <v xml:space="preserve">0158900 </v>
      </c>
      <c r="B1197" t="s">
        <v>3975</v>
      </c>
      <c r="C1197" t="str">
        <f>"0530-01-TFE"</f>
        <v>0530-01-TFE</v>
      </c>
      <c r="D1197" t="s">
        <v>3978</v>
      </c>
      <c r="E1197" t="s">
        <v>20</v>
      </c>
      <c r="F1197" t="s">
        <v>3979</v>
      </c>
      <c r="G1197" t="s">
        <v>3975</v>
      </c>
      <c r="H1197" t="str">
        <f>"0530-01-TFE"</f>
        <v>0530-01-TFE</v>
      </c>
    </row>
    <row r="1198" spans="1:8">
      <c r="A1198" t="str">
        <f>"0158901 "</f>
        <v xml:space="preserve">0158901 </v>
      </c>
      <c r="B1198" t="s">
        <v>3975</v>
      </c>
      <c r="C1198" t="str">
        <f>"0530-05-TFE"</f>
        <v>0530-05-TFE</v>
      </c>
      <c r="D1198" t="s">
        <v>3980</v>
      </c>
      <c r="E1198" t="s">
        <v>20</v>
      </c>
      <c r="F1198" t="s">
        <v>3981</v>
      </c>
      <c r="G1198" t="s">
        <v>3975</v>
      </c>
      <c r="H1198" t="str">
        <f>"0530-05-TFE"</f>
        <v>0530-05-TFE</v>
      </c>
    </row>
    <row r="1199" spans="1:8">
      <c r="A1199" t="str">
        <f>"0248768 "</f>
        <v xml:space="preserve">0248768 </v>
      </c>
      <c r="B1199" t="s">
        <v>3982</v>
      </c>
      <c r="C1199" t="str">
        <f>"00098983010016"</f>
        <v>00098983010016</v>
      </c>
      <c r="D1199" t="s">
        <v>3983</v>
      </c>
      <c r="E1199">
        <v>5</v>
      </c>
      <c r="F1199" t="s">
        <v>3984</v>
      </c>
      <c r="G1199" t="s">
        <v>3982</v>
      </c>
      <c r="H1199" t="str">
        <f>"00098983010016"</f>
        <v>00098983010016</v>
      </c>
    </row>
    <row r="1200" spans="1:8">
      <c r="A1200" t="str">
        <f>"0248769 "</f>
        <v xml:space="preserve">0248769 </v>
      </c>
      <c r="B1200" t="s">
        <v>3982</v>
      </c>
      <c r="C1200" t="str">
        <f>"0009898301BAA4"</f>
        <v>0009898301BAA4</v>
      </c>
      <c r="D1200" t="s">
        <v>3985</v>
      </c>
      <c r="E1200">
        <v>1</v>
      </c>
      <c r="F1200" t="s">
        <v>3986</v>
      </c>
      <c r="G1200" t="s">
        <v>3982</v>
      </c>
      <c r="H1200" t="str">
        <f>"0009898301BAA4"</f>
        <v>0009898301BAA4</v>
      </c>
    </row>
    <row r="1201" spans="1:8">
      <c r="A1201" t="str">
        <f>"0240893 "</f>
        <v xml:space="preserve">0240893 </v>
      </c>
      <c r="B1201" t="s">
        <v>3982</v>
      </c>
      <c r="C1201" t="str">
        <f>"00098994010016"</f>
        <v>00098994010016</v>
      </c>
      <c r="D1201" t="s">
        <v>3987</v>
      </c>
      <c r="E1201" t="s">
        <v>20</v>
      </c>
      <c r="F1201" t="s">
        <v>3988</v>
      </c>
      <c r="G1201" t="s">
        <v>3982</v>
      </c>
      <c r="H1201" t="str">
        <f>"00098994010016"</f>
        <v>00098994010016</v>
      </c>
    </row>
    <row r="1202" spans="1:8">
      <c r="A1202" t="str">
        <f>"0216254 "</f>
        <v xml:space="preserve">0216254 </v>
      </c>
      <c r="B1202" t="s">
        <v>3982</v>
      </c>
      <c r="C1202" t="s">
        <v>3989</v>
      </c>
      <c r="D1202" t="s">
        <v>3990</v>
      </c>
      <c r="E1202">
        <v>1</v>
      </c>
      <c r="F1202" t="s">
        <v>3991</v>
      </c>
      <c r="G1202" t="s">
        <v>3982</v>
      </c>
      <c r="H1202" t="s">
        <v>3989</v>
      </c>
    </row>
    <row r="1203" spans="1:8">
      <c r="A1203" t="str">
        <f>"0239687 "</f>
        <v xml:space="preserve">0239687 </v>
      </c>
      <c r="B1203" t="s">
        <v>3982</v>
      </c>
      <c r="C1203" t="s">
        <v>3992</v>
      </c>
      <c r="D1203" t="s">
        <v>3993</v>
      </c>
      <c r="E1203" t="s">
        <v>20</v>
      </c>
      <c r="F1203" t="s">
        <v>3994</v>
      </c>
      <c r="G1203" t="s">
        <v>3982</v>
      </c>
      <c r="H1203" t="s">
        <v>3992</v>
      </c>
    </row>
    <row r="1204" spans="1:8">
      <c r="A1204" t="str">
        <f>"0164228 "</f>
        <v xml:space="preserve">0164228 </v>
      </c>
      <c r="B1204" t="s">
        <v>3982</v>
      </c>
      <c r="C1204" t="s">
        <v>3995</v>
      </c>
      <c r="D1204" t="s">
        <v>3996</v>
      </c>
      <c r="E1204" t="s">
        <v>20</v>
      </c>
      <c r="F1204" t="s">
        <v>2003</v>
      </c>
      <c r="G1204" t="s">
        <v>3982</v>
      </c>
      <c r="H1204" t="s">
        <v>3995</v>
      </c>
    </row>
    <row r="1205" spans="1:8">
      <c r="A1205" t="str">
        <f>"0241160 "</f>
        <v xml:space="preserve">0241160 </v>
      </c>
      <c r="B1205" t="s">
        <v>3982</v>
      </c>
      <c r="C1205" t="s">
        <v>3997</v>
      </c>
      <c r="D1205" t="s">
        <v>3998</v>
      </c>
      <c r="E1205">
        <v>3</v>
      </c>
      <c r="F1205" t="s">
        <v>3999</v>
      </c>
      <c r="G1205" t="s">
        <v>3982</v>
      </c>
      <c r="H1205" t="s">
        <v>3997</v>
      </c>
    </row>
    <row r="1206" spans="1:8">
      <c r="A1206" t="str">
        <f>"0164229 "</f>
        <v xml:space="preserve">0164229 </v>
      </c>
      <c r="B1206" t="s">
        <v>3982</v>
      </c>
      <c r="C1206" t="s">
        <v>4000</v>
      </c>
      <c r="D1206" t="s">
        <v>4001</v>
      </c>
      <c r="E1206" t="s">
        <v>20</v>
      </c>
      <c r="F1206" t="s">
        <v>4002</v>
      </c>
      <c r="G1206" t="s">
        <v>3982</v>
      </c>
      <c r="H1206" t="s">
        <v>4000</v>
      </c>
    </row>
    <row r="1207" spans="1:8">
      <c r="A1207" t="str">
        <f>"0086587 "</f>
        <v xml:space="preserve">0086587 </v>
      </c>
      <c r="B1207" t="s">
        <v>4003</v>
      </c>
      <c r="C1207" t="s">
        <v>4004</v>
      </c>
      <c r="D1207" t="s">
        <v>4005</v>
      </c>
      <c r="E1207" t="s">
        <v>20</v>
      </c>
      <c r="F1207" t="s">
        <v>4006</v>
      </c>
      <c r="G1207" t="s">
        <v>4003</v>
      </c>
      <c r="H1207" t="s">
        <v>4004</v>
      </c>
    </row>
    <row r="1208" spans="1:8">
      <c r="A1208" t="str">
        <f>"0048739 "</f>
        <v xml:space="preserve">0048739 </v>
      </c>
      <c r="B1208" t="s">
        <v>4003</v>
      </c>
      <c r="C1208" t="s">
        <v>4007</v>
      </c>
      <c r="D1208" t="s">
        <v>4008</v>
      </c>
      <c r="E1208" t="s">
        <v>20</v>
      </c>
      <c r="F1208" t="s">
        <v>4009</v>
      </c>
      <c r="G1208" t="s">
        <v>4003</v>
      </c>
      <c r="H1208" t="s">
        <v>4007</v>
      </c>
    </row>
    <row r="1209" spans="1:8">
      <c r="A1209" t="str">
        <f>"0031839 "</f>
        <v xml:space="preserve">0031839 </v>
      </c>
      <c r="B1209" t="s">
        <v>4010</v>
      </c>
      <c r="C1209" t="str">
        <f>"00279-1QT5W"</f>
        <v>00279-1QT5W</v>
      </c>
      <c r="D1209" t="s">
        <v>4011</v>
      </c>
      <c r="E1209" t="s">
        <v>20</v>
      </c>
      <c r="F1209" t="s">
        <v>1216</v>
      </c>
      <c r="G1209" t="s">
        <v>4010</v>
      </c>
      <c r="H1209" t="str">
        <f>"00279-1QT5W"</f>
        <v>00279-1QT5W</v>
      </c>
    </row>
    <row r="1210" spans="1:8">
      <c r="A1210" t="str">
        <f>"0033815 "</f>
        <v xml:space="preserve">0033815 </v>
      </c>
      <c r="B1210" t="s">
        <v>4010</v>
      </c>
      <c r="C1210" t="str">
        <f>"00289-ATFWS"</f>
        <v>00289-ATFWS</v>
      </c>
      <c r="D1210" t="s">
        <v>4012</v>
      </c>
      <c r="E1210" t="s">
        <v>20</v>
      </c>
      <c r="F1210" t="s">
        <v>4013</v>
      </c>
      <c r="G1210" t="s">
        <v>4010</v>
      </c>
      <c r="H1210" t="str">
        <f>"00289-ATFWS"</f>
        <v>00289-ATFWS</v>
      </c>
    </row>
    <row r="1211" spans="1:8">
      <c r="A1211" t="str">
        <f>"0248687 "</f>
        <v xml:space="preserve">0248687 </v>
      </c>
      <c r="B1211" t="s">
        <v>4010</v>
      </c>
      <c r="C1211" t="str">
        <f>"08880-80835"</f>
        <v>08880-80835</v>
      </c>
      <c r="D1211" t="s">
        <v>4014</v>
      </c>
      <c r="E1211">
        <v>2</v>
      </c>
      <c r="F1211" t="s">
        <v>4015</v>
      </c>
      <c r="G1211" t="s">
        <v>4010</v>
      </c>
      <c r="H1211" t="str">
        <f>"08880-80835"</f>
        <v>08880-80835</v>
      </c>
    </row>
    <row r="1212" spans="1:8">
      <c r="A1212" t="str">
        <f>"0248688 "</f>
        <v xml:space="preserve">0248688 </v>
      </c>
      <c r="B1212" t="s">
        <v>4010</v>
      </c>
      <c r="C1212" t="str">
        <f>"08880-80836"</f>
        <v>08880-80836</v>
      </c>
      <c r="D1212" t="s">
        <v>4016</v>
      </c>
      <c r="E1212">
        <v>2</v>
      </c>
      <c r="F1212" t="s">
        <v>4017</v>
      </c>
      <c r="G1212" t="s">
        <v>4010</v>
      </c>
      <c r="H1212" t="str">
        <f>"08880-80836"</f>
        <v>08880-80836</v>
      </c>
    </row>
    <row r="1213" spans="1:8">
      <c r="A1213" t="str">
        <f>"0035773 "</f>
        <v xml:space="preserve">0035773 </v>
      </c>
      <c r="B1213" t="s">
        <v>4010</v>
      </c>
      <c r="C1213" t="str">
        <f>"08880-80845"</f>
        <v>08880-80845</v>
      </c>
      <c r="D1213" t="s">
        <v>4018</v>
      </c>
      <c r="E1213" t="s">
        <v>20</v>
      </c>
      <c r="F1213" t="s">
        <v>4019</v>
      </c>
      <c r="G1213" t="s">
        <v>4010</v>
      </c>
      <c r="H1213" t="str">
        <f>"08880-80845"</f>
        <v>08880-80845</v>
      </c>
    </row>
    <row r="1214" spans="1:8">
      <c r="A1214" t="str">
        <f>"0039079 "</f>
        <v xml:space="preserve">0039079 </v>
      </c>
      <c r="B1214" t="s">
        <v>4010</v>
      </c>
      <c r="C1214" t="str">
        <f>"08880-80846"</f>
        <v>08880-80846</v>
      </c>
      <c r="D1214" t="s">
        <v>4020</v>
      </c>
      <c r="E1214" t="s">
        <v>20</v>
      </c>
      <c r="F1214" t="s">
        <v>4021</v>
      </c>
      <c r="G1214" t="s">
        <v>4010</v>
      </c>
      <c r="H1214" t="str">
        <f>"08880-80846"</f>
        <v>08880-80846</v>
      </c>
    </row>
    <row r="1215" spans="1:8">
      <c r="A1215" t="str">
        <f>"0248682 "</f>
        <v xml:space="preserve">0248682 </v>
      </c>
      <c r="B1215" t="s">
        <v>4022</v>
      </c>
      <c r="C1215" t="s">
        <v>4023</v>
      </c>
      <c r="D1215" t="s">
        <v>4024</v>
      </c>
      <c r="E1215">
        <v>4</v>
      </c>
      <c r="F1215" t="s">
        <v>4025</v>
      </c>
      <c r="G1215" t="s">
        <v>4022</v>
      </c>
      <c r="H1215" t="s">
        <v>4023</v>
      </c>
    </row>
    <row r="1216" spans="1:8">
      <c r="A1216" t="str">
        <f>"0248681 "</f>
        <v xml:space="preserve">0248681 </v>
      </c>
      <c r="B1216" t="s">
        <v>4022</v>
      </c>
      <c r="C1216" t="s">
        <v>4026</v>
      </c>
      <c r="D1216" t="s">
        <v>4027</v>
      </c>
      <c r="E1216" t="s">
        <v>20</v>
      </c>
      <c r="F1216" t="s">
        <v>4028</v>
      </c>
      <c r="G1216" t="s">
        <v>4022</v>
      </c>
      <c r="H1216" t="s">
        <v>4026</v>
      </c>
    </row>
    <row r="1217" spans="1:8">
      <c r="A1217" t="str">
        <f>"0240871 "</f>
        <v xml:space="preserve">0240871 </v>
      </c>
      <c r="B1217" t="s">
        <v>4022</v>
      </c>
      <c r="C1217" t="s">
        <v>4029</v>
      </c>
      <c r="D1217" t="s">
        <v>4030</v>
      </c>
      <c r="E1217" t="s">
        <v>20</v>
      </c>
      <c r="F1217" t="s">
        <v>4031</v>
      </c>
      <c r="G1217" t="s">
        <v>4022</v>
      </c>
      <c r="H1217" t="s">
        <v>4029</v>
      </c>
    </row>
    <row r="1218" spans="1:8">
      <c r="A1218" t="str">
        <f>"0212252 "</f>
        <v xml:space="preserve">0212252 </v>
      </c>
      <c r="B1218" t="s">
        <v>4032</v>
      </c>
      <c r="D1218" t="s">
        <v>4033</v>
      </c>
      <c r="E1218" t="s">
        <v>20</v>
      </c>
      <c r="F1218" t="s">
        <v>1102</v>
      </c>
      <c r="G1218" t="s">
        <v>4032</v>
      </c>
    </row>
    <row r="1219" spans="1:8">
      <c r="A1219" t="str">
        <f>"0212254 "</f>
        <v xml:space="preserve">0212254 </v>
      </c>
      <c r="B1219" t="s">
        <v>4032</v>
      </c>
      <c r="D1219" t="s">
        <v>4034</v>
      </c>
      <c r="E1219">
        <v>4</v>
      </c>
      <c r="F1219" t="s">
        <v>4035</v>
      </c>
      <c r="G1219" t="s">
        <v>4032</v>
      </c>
    </row>
    <row r="1220" spans="1:8">
      <c r="A1220" t="str">
        <f>"0212253 "</f>
        <v xml:space="preserve">0212253 </v>
      </c>
      <c r="B1220" t="s">
        <v>4032</v>
      </c>
      <c r="D1220" t="s">
        <v>4036</v>
      </c>
      <c r="E1220" t="s">
        <v>20</v>
      </c>
      <c r="F1220" t="s">
        <v>4037</v>
      </c>
      <c r="G1220" t="s">
        <v>4032</v>
      </c>
    </row>
    <row r="1221" spans="1:8">
      <c r="A1221" t="str">
        <f>"0211919 "</f>
        <v xml:space="preserve">0211919 </v>
      </c>
      <c r="B1221" t="s">
        <v>4032</v>
      </c>
      <c r="C1221">
        <v>1011</v>
      </c>
      <c r="D1221" t="s">
        <v>4038</v>
      </c>
      <c r="E1221">
        <v>2</v>
      </c>
      <c r="F1221" t="s">
        <v>4039</v>
      </c>
      <c r="G1221" t="s">
        <v>4032</v>
      </c>
      <c r="H1221">
        <v>1011</v>
      </c>
    </row>
    <row r="1222" spans="1:8">
      <c r="A1222" t="str">
        <f>"0211918 "</f>
        <v xml:space="preserve">0211918 </v>
      </c>
      <c r="B1222" t="s">
        <v>4032</v>
      </c>
      <c r="C1222">
        <v>1014</v>
      </c>
      <c r="D1222" t="s">
        <v>4040</v>
      </c>
      <c r="E1222">
        <v>4</v>
      </c>
      <c r="F1222" t="s">
        <v>4041</v>
      </c>
      <c r="G1222" t="s">
        <v>4032</v>
      </c>
      <c r="H1222">
        <v>1014</v>
      </c>
    </row>
    <row r="1223" spans="1:8">
      <c r="A1223" t="str">
        <f>"0211924 "</f>
        <v xml:space="preserve">0211924 </v>
      </c>
      <c r="B1223" t="s">
        <v>4032</v>
      </c>
      <c r="C1223">
        <v>1021</v>
      </c>
      <c r="D1223" t="s">
        <v>4042</v>
      </c>
      <c r="E1223">
        <v>4</v>
      </c>
      <c r="F1223" t="s">
        <v>4043</v>
      </c>
      <c r="G1223" t="s">
        <v>4032</v>
      </c>
      <c r="H1223">
        <v>1021</v>
      </c>
    </row>
    <row r="1224" spans="1:8">
      <c r="A1224" t="str">
        <f>"0211923 "</f>
        <v xml:space="preserve">0211923 </v>
      </c>
      <c r="B1224" t="s">
        <v>4032</v>
      </c>
      <c r="C1224">
        <v>1024</v>
      </c>
      <c r="D1224" t="s">
        <v>4044</v>
      </c>
      <c r="E1224" t="s">
        <v>20</v>
      </c>
      <c r="F1224" t="s">
        <v>4041</v>
      </c>
      <c r="G1224" t="s">
        <v>4032</v>
      </c>
      <c r="H1224">
        <v>1024</v>
      </c>
    </row>
    <row r="1225" spans="1:8">
      <c r="A1225" t="str">
        <f>"0212058 "</f>
        <v xml:space="preserve">0212058 </v>
      </c>
      <c r="B1225" t="s">
        <v>4032</v>
      </c>
      <c r="C1225">
        <v>1081</v>
      </c>
      <c r="D1225" t="s">
        <v>4045</v>
      </c>
      <c r="E1225" t="s">
        <v>20</v>
      </c>
      <c r="F1225" t="s">
        <v>4046</v>
      </c>
      <c r="G1225" t="s">
        <v>4032</v>
      </c>
      <c r="H1225">
        <v>1081</v>
      </c>
    </row>
    <row r="1226" spans="1:8">
      <c r="A1226" t="str">
        <f>"0212059 "</f>
        <v xml:space="preserve">0212059 </v>
      </c>
      <c r="B1226" t="s">
        <v>4032</v>
      </c>
      <c r="C1226">
        <v>1091</v>
      </c>
      <c r="D1226" t="s">
        <v>4047</v>
      </c>
      <c r="E1226" t="s">
        <v>20</v>
      </c>
      <c r="F1226" t="s">
        <v>4048</v>
      </c>
      <c r="G1226" t="s">
        <v>4032</v>
      </c>
      <c r="H1226">
        <v>1091</v>
      </c>
    </row>
    <row r="1227" spans="1:8">
      <c r="A1227" t="str">
        <f>"0211949 "</f>
        <v xml:space="preserve">0211949 </v>
      </c>
      <c r="B1227" t="s">
        <v>4032</v>
      </c>
      <c r="C1227">
        <v>1141</v>
      </c>
      <c r="D1227" t="s">
        <v>4049</v>
      </c>
      <c r="E1227" t="s">
        <v>20</v>
      </c>
      <c r="F1227" t="s">
        <v>4050</v>
      </c>
      <c r="G1227" t="s">
        <v>4032</v>
      </c>
      <c r="H1227">
        <v>1141</v>
      </c>
    </row>
    <row r="1228" spans="1:8">
      <c r="A1228" t="str">
        <f>"0211948 "</f>
        <v xml:space="preserve">0211948 </v>
      </c>
      <c r="B1228" t="s">
        <v>4032</v>
      </c>
      <c r="C1228">
        <v>1144</v>
      </c>
      <c r="D1228" t="s">
        <v>4051</v>
      </c>
      <c r="E1228" t="s">
        <v>20</v>
      </c>
      <c r="F1228" t="s">
        <v>4052</v>
      </c>
      <c r="G1228" t="s">
        <v>4032</v>
      </c>
      <c r="H1228">
        <v>1144</v>
      </c>
    </row>
    <row r="1229" spans="1:8">
      <c r="A1229" t="str">
        <f>"0211974 "</f>
        <v xml:space="preserve">0211974 </v>
      </c>
      <c r="B1229" t="s">
        <v>4032</v>
      </c>
      <c r="C1229">
        <v>1488</v>
      </c>
      <c r="D1229" t="s">
        <v>4053</v>
      </c>
      <c r="E1229">
        <v>1</v>
      </c>
      <c r="F1229" t="s">
        <v>4054</v>
      </c>
      <c r="G1229" t="s">
        <v>4032</v>
      </c>
      <c r="H1229">
        <v>1488</v>
      </c>
    </row>
    <row r="1230" spans="1:8">
      <c r="A1230" t="str">
        <f>"0211944 "</f>
        <v xml:space="preserve">0211944 </v>
      </c>
      <c r="B1230" t="s">
        <v>4032</v>
      </c>
      <c r="C1230">
        <v>1541</v>
      </c>
      <c r="D1230" t="s">
        <v>4055</v>
      </c>
      <c r="E1230" t="s">
        <v>20</v>
      </c>
      <c r="F1230" t="s">
        <v>4056</v>
      </c>
      <c r="G1230" t="s">
        <v>4032</v>
      </c>
      <c r="H1230">
        <v>1541</v>
      </c>
    </row>
    <row r="1231" spans="1:8">
      <c r="A1231" t="str">
        <f>"0211943 "</f>
        <v xml:space="preserve">0211943 </v>
      </c>
      <c r="B1231" t="s">
        <v>4032</v>
      </c>
      <c r="C1231">
        <v>1544</v>
      </c>
      <c r="D1231" t="s">
        <v>4057</v>
      </c>
      <c r="E1231" t="s">
        <v>20</v>
      </c>
      <c r="F1231" t="s">
        <v>4058</v>
      </c>
      <c r="G1231" t="s">
        <v>4032</v>
      </c>
      <c r="H1231">
        <v>1544</v>
      </c>
    </row>
    <row r="1232" spans="1:8">
      <c r="A1232" t="str">
        <f>"0211967 "</f>
        <v xml:space="preserve">0211967 </v>
      </c>
      <c r="B1232" t="s">
        <v>4032</v>
      </c>
      <c r="C1232">
        <v>1848</v>
      </c>
      <c r="D1232" t="s">
        <v>4059</v>
      </c>
      <c r="E1232">
        <v>2</v>
      </c>
      <c r="F1232" t="s">
        <v>4060</v>
      </c>
      <c r="G1232" t="s">
        <v>4032</v>
      </c>
      <c r="H1232">
        <v>1848</v>
      </c>
    </row>
    <row r="1233" spans="1:8">
      <c r="A1233" t="str">
        <f>"0211971 "</f>
        <v xml:space="preserve">0211971 </v>
      </c>
      <c r="B1233" t="s">
        <v>4032</v>
      </c>
      <c r="C1233">
        <v>1856</v>
      </c>
      <c r="D1233" t="s">
        <v>4061</v>
      </c>
      <c r="E1233">
        <v>1</v>
      </c>
      <c r="F1233" t="s">
        <v>4062</v>
      </c>
      <c r="G1233" t="s">
        <v>4032</v>
      </c>
      <c r="H1233">
        <v>1856</v>
      </c>
    </row>
    <row r="1234" spans="1:8">
      <c r="A1234" t="str">
        <f>"0211970 "</f>
        <v xml:space="preserve">0211970 </v>
      </c>
      <c r="B1234" t="s">
        <v>4032</v>
      </c>
      <c r="C1234">
        <v>1858</v>
      </c>
      <c r="D1234" t="s">
        <v>4063</v>
      </c>
      <c r="E1234">
        <v>1</v>
      </c>
      <c r="F1234" t="s">
        <v>4064</v>
      </c>
      <c r="G1234" t="s">
        <v>4032</v>
      </c>
      <c r="H1234">
        <v>1858</v>
      </c>
    </row>
    <row r="1235" spans="1:8">
      <c r="A1235" t="str">
        <f>"0211985 "</f>
        <v xml:space="preserve">0211985 </v>
      </c>
      <c r="B1235" t="s">
        <v>4032</v>
      </c>
      <c r="C1235">
        <v>2746</v>
      </c>
      <c r="D1235" t="s">
        <v>4065</v>
      </c>
      <c r="E1235">
        <v>2</v>
      </c>
      <c r="F1235" t="s">
        <v>4066</v>
      </c>
      <c r="G1235" t="s">
        <v>4032</v>
      </c>
      <c r="H1235">
        <v>2746</v>
      </c>
    </row>
    <row r="1236" spans="1:8">
      <c r="A1236" t="str">
        <f>"0211984 "</f>
        <v xml:space="preserve">0211984 </v>
      </c>
      <c r="B1236" t="s">
        <v>4032</v>
      </c>
      <c r="C1236">
        <v>2748</v>
      </c>
      <c r="D1236" t="s">
        <v>4067</v>
      </c>
      <c r="E1236">
        <v>1</v>
      </c>
      <c r="F1236" t="s">
        <v>4068</v>
      </c>
      <c r="G1236" t="s">
        <v>4032</v>
      </c>
      <c r="H1236">
        <v>2748</v>
      </c>
    </row>
    <row r="1237" spans="1:8">
      <c r="A1237" t="str">
        <f>"0212012 "</f>
        <v xml:space="preserve">0212012 </v>
      </c>
      <c r="B1237" t="s">
        <v>4032</v>
      </c>
      <c r="C1237">
        <v>3001</v>
      </c>
      <c r="D1237" t="s">
        <v>4069</v>
      </c>
      <c r="E1237">
        <v>5</v>
      </c>
      <c r="F1237" t="s">
        <v>4070</v>
      </c>
      <c r="G1237" t="s">
        <v>4032</v>
      </c>
      <c r="H1237">
        <v>3001</v>
      </c>
    </row>
    <row r="1238" spans="1:8">
      <c r="A1238" t="str">
        <f>"0212013 "</f>
        <v xml:space="preserve">0212013 </v>
      </c>
      <c r="B1238" t="s">
        <v>4032</v>
      </c>
      <c r="C1238">
        <v>3241</v>
      </c>
      <c r="D1238" t="s">
        <v>4071</v>
      </c>
      <c r="E1238" t="s">
        <v>20</v>
      </c>
      <c r="F1238" t="s">
        <v>4072</v>
      </c>
      <c r="G1238" t="s">
        <v>4032</v>
      </c>
      <c r="H1238">
        <v>3241</v>
      </c>
    </row>
    <row r="1239" spans="1:8">
      <c r="A1239" t="str">
        <f>"0211931 "</f>
        <v xml:space="preserve">0211931 </v>
      </c>
      <c r="B1239" t="s">
        <v>4032</v>
      </c>
      <c r="C1239">
        <v>4111</v>
      </c>
      <c r="D1239" t="s">
        <v>4073</v>
      </c>
      <c r="E1239">
        <v>3</v>
      </c>
      <c r="F1239" t="s">
        <v>4074</v>
      </c>
      <c r="G1239" t="s">
        <v>4032</v>
      </c>
      <c r="H1239">
        <v>4111</v>
      </c>
    </row>
    <row r="1240" spans="1:8">
      <c r="A1240" t="str">
        <f>"0211930 "</f>
        <v xml:space="preserve">0211930 </v>
      </c>
      <c r="B1240" t="s">
        <v>4032</v>
      </c>
      <c r="C1240">
        <v>4114</v>
      </c>
      <c r="D1240" t="s">
        <v>4075</v>
      </c>
      <c r="E1240">
        <v>4</v>
      </c>
      <c r="F1240" t="s">
        <v>2139</v>
      </c>
      <c r="G1240" t="s">
        <v>4032</v>
      </c>
      <c r="H1240">
        <v>4114</v>
      </c>
    </row>
    <row r="1241" spans="1:8">
      <c r="A1241" t="str">
        <f>"0212028 "</f>
        <v xml:space="preserve">0212028 </v>
      </c>
      <c r="B1241" t="s">
        <v>4032</v>
      </c>
      <c r="C1241">
        <v>4301</v>
      </c>
      <c r="D1241" t="s">
        <v>4076</v>
      </c>
      <c r="E1241" t="s">
        <v>20</v>
      </c>
      <c r="F1241" t="s">
        <v>4072</v>
      </c>
      <c r="G1241" t="s">
        <v>4032</v>
      </c>
      <c r="H1241">
        <v>4301</v>
      </c>
    </row>
    <row r="1242" spans="1:8">
      <c r="A1242" t="str">
        <f>"0212030 "</f>
        <v xml:space="preserve">0212030 </v>
      </c>
      <c r="B1242" t="s">
        <v>4032</v>
      </c>
      <c r="C1242">
        <v>4311</v>
      </c>
      <c r="D1242" t="s">
        <v>4077</v>
      </c>
      <c r="E1242" t="s">
        <v>20</v>
      </c>
      <c r="F1242" t="s">
        <v>4078</v>
      </c>
      <c r="G1242" t="s">
        <v>4032</v>
      </c>
      <c r="H1242">
        <v>4311</v>
      </c>
    </row>
    <row r="1243" spans="1:8">
      <c r="A1243" t="str">
        <f>"0212041 "</f>
        <v xml:space="preserve">0212041 </v>
      </c>
      <c r="B1243" t="s">
        <v>4032</v>
      </c>
      <c r="C1243">
        <v>4581</v>
      </c>
      <c r="D1243" t="s">
        <v>4079</v>
      </c>
      <c r="E1243" t="s">
        <v>20</v>
      </c>
      <c r="F1243" t="s">
        <v>4080</v>
      </c>
      <c r="G1243" t="s">
        <v>4032</v>
      </c>
      <c r="H1243">
        <v>4581</v>
      </c>
    </row>
    <row r="1244" spans="1:8">
      <c r="A1244" t="str">
        <f>"0212244 "</f>
        <v xml:space="preserve">0212244 </v>
      </c>
      <c r="B1244" t="s">
        <v>4032</v>
      </c>
      <c r="C1244">
        <v>7131</v>
      </c>
      <c r="D1244" t="s">
        <v>4081</v>
      </c>
      <c r="E1244" t="s">
        <v>20</v>
      </c>
      <c r="F1244" t="s">
        <v>4082</v>
      </c>
      <c r="G1244" t="s">
        <v>4032</v>
      </c>
      <c r="H1244">
        <v>7131</v>
      </c>
    </row>
    <row r="1245" spans="1:8">
      <c r="A1245" t="str">
        <f>"0212245 "</f>
        <v xml:space="preserve">0212245 </v>
      </c>
      <c r="B1245" t="s">
        <v>4032</v>
      </c>
      <c r="C1245">
        <v>7134</v>
      </c>
      <c r="D1245" t="s">
        <v>4083</v>
      </c>
      <c r="E1245" t="s">
        <v>20</v>
      </c>
      <c r="F1245" t="s">
        <v>4084</v>
      </c>
      <c r="G1245" t="s">
        <v>4032</v>
      </c>
      <c r="H1245">
        <v>7134</v>
      </c>
    </row>
    <row r="1246" spans="1:8">
      <c r="A1246" t="str">
        <f>"0212246 "</f>
        <v xml:space="preserve">0212246 </v>
      </c>
      <c r="B1246" t="s">
        <v>4032</v>
      </c>
      <c r="C1246">
        <v>7137</v>
      </c>
      <c r="D1246" t="s">
        <v>4085</v>
      </c>
      <c r="E1246">
        <v>1</v>
      </c>
      <c r="F1246" t="s">
        <v>4086</v>
      </c>
      <c r="G1246" t="s">
        <v>4032</v>
      </c>
      <c r="H1246">
        <v>7137</v>
      </c>
    </row>
    <row r="1247" spans="1:8">
      <c r="A1247" t="str">
        <f>"0212238 "</f>
        <v xml:space="preserve">0212238 </v>
      </c>
      <c r="B1247" t="s">
        <v>4032</v>
      </c>
      <c r="C1247">
        <v>7201</v>
      </c>
      <c r="D1247" t="s">
        <v>4087</v>
      </c>
      <c r="E1247" t="s">
        <v>20</v>
      </c>
      <c r="F1247" t="s">
        <v>4088</v>
      </c>
      <c r="G1247" t="s">
        <v>4032</v>
      </c>
      <c r="H1247">
        <v>7201</v>
      </c>
    </row>
    <row r="1248" spans="1:8">
      <c r="A1248" t="str">
        <f>"0212223 "</f>
        <v xml:space="preserve">0212223 </v>
      </c>
      <c r="B1248" t="s">
        <v>4032</v>
      </c>
      <c r="C1248">
        <v>9401</v>
      </c>
      <c r="D1248" t="s">
        <v>4089</v>
      </c>
      <c r="E1248">
        <v>5</v>
      </c>
      <c r="F1248" t="s">
        <v>4090</v>
      </c>
      <c r="G1248" t="s">
        <v>4032</v>
      </c>
      <c r="H1248">
        <v>9401</v>
      </c>
    </row>
    <row r="1249" spans="1:9">
      <c r="A1249" t="str">
        <f>"0212233 "</f>
        <v xml:space="preserve">0212233 </v>
      </c>
      <c r="B1249" t="s">
        <v>4032</v>
      </c>
      <c r="C1249">
        <v>9801</v>
      </c>
      <c r="D1249" t="s">
        <v>4091</v>
      </c>
      <c r="E1249" t="s">
        <v>20</v>
      </c>
      <c r="F1249" t="s">
        <v>4092</v>
      </c>
      <c r="G1249" t="s">
        <v>4032</v>
      </c>
      <c r="H1249">
        <v>9801</v>
      </c>
    </row>
    <row r="1250" spans="1:9">
      <c r="A1250" t="str">
        <f>"0199200 "</f>
        <v xml:space="preserve">0199200 </v>
      </c>
      <c r="B1250" t="s">
        <v>4093</v>
      </c>
      <c r="C1250" t="s">
        <v>4094</v>
      </c>
      <c r="D1250" t="s">
        <v>4095</v>
      </c>
      <c r="E1250">
        <v>1</v>
      </c>
      <c r="F1250" t="s">
        <v>4096</v>
      </c>
      <c r="G1250" t="s">
        <v>4093</v>
      </c>
      <c r="H1250" t="s">
        <v>4094</v>
      </c>
      <c r="I1250" t="s">
        <v>297</v>
      </c>
    </row>
    <row r="1251" spans="1:9">
      <c r="A1251" t="str">
        <f>"0199203 "</f>
        <v xml:space="preserve">0199203 </v>
      </c>
      <c r="B1251" t="s">
        <v>4093</v>
      </c>
      <c r="C1251" t="s">
        <v>4097</v>
      </c>
      <c r="D1251" t="s">
        <v>4098</v>
      </c>
      <c r="E1251">
        <v>2</v>
      </c>
      <c r="F1251" t="s">
        <v>4099</v>
      </c>
      <c r="G1251" t="s">
        <v>4093</v>
      </c>
      <c r="H1251" t="s">
        <v>4097</v>
      </c>
      <c r="I1251" t="s">
        <v>4100</v>
      </c>
    </row>
    <row r="1252" spans="1:9">
      <c r="A1252" t="str">
        <f>"0199209 "</f>
        <v xml:space="preserve">0199209 </v>
      </c>
      <c r="B1252" t="s">
        <v>4093</v>
      </c>
      <c r="C1252" t="s">
        <v>4101</v>
      </c>
      <c r="D1252" t="s">
        <v>4102</v>
      </c>
      <c r="E1252">
        <v>2</v>
      </c>
      <c r="F1252" t="s">
        <v>4103</v>
      </c>
      <c r="G1252" t="s">
        <v>4093</v>
      </c>
      <c r="H1252" t="s">
        <v>4101</v>
      </c>
      <c r="I1252" t="s">
        <v>4104</v>
      </c>
    </row>
    <row r="1253" spans="1:9">
      <c r="A1253" t="str">
        <f>"0199215 "</f>
        <v xml:space="preserve">0199215 </v>
      </c>
      <c r="B1253" t="s">
        <v>4093</v>
      </c>
      <c r="C1253" t="s">
        <v>4105</v>
      </c>
      <c r="D1253" t="s">
        <v>4106</v>
      </c>
      <c r="E1253">
        <v>1</v>
      </c>
      <c r="F1253" t="s">
        <v>4107</v>
      </c>
      <c r="G1253" t="s">
        <v>4093</v>
      </c>
      <c r="H1253" t="s">
        <v>4105</v>
      </c>
      <c r="I1253" t="s">
        <v>4108</v>
      </c>
    </row>
    <row r="1254" spans="1:9">
      <c r="A1254" t="str">
        <f>"0199216 "</f>
        <v xml:space="preserve">0199216 </v>
      </c>
      <c r="B1254" t="s">
        <v>4093</v>
      </c>
      <c r="C1254" t="s">
        <v>4109</v>
      </c>
      <c r="D1254" t="s">
        <v>4110</v>
      </c>
      <c r="E1254">
        <v>1</v>
      </c>
      <c r="F1254" t="s">
        <v>4111</v>
      </c>
      <c r="G1254" t="s">
        <v>4093</v>
      </c>
      <c r="H1254" t="s">
        <v>4109</v>
      </c>
      <c r="I1254" t="s">
        <v>4112</v>
      </c>
    </row>
    <row r="1255" spans="1:9">
      <c r="A1255" t="str">
        <f>"0199219 "</f>
        <v xml:space="preserve">0199219 </v>
      </c>
      <c r="B1255" t="s">
        <v>4093</v>
      </c>
      <c r="C1255" t="s">
        <v>4113</v>
      </c>
      <c r="D1255" t="s">
        <v>4114</v>
      </c>
      <c r="E1255">
        <v>1</v>
      </c>
      <c r="F1255" t="s">
        <v>4115</v>
      </c>
      <c r="G1255" t="s">
        <v>4093</v>
      </c>
      <c r="H1255" t="s">
        <v>4113</v>
      </c>
      <c r="I1255" t="s">
        <v>327</v>
      </c>
    </row>
    <row r="1256" spans="1:9">
      <c r="A1256" t="str">
        <f>"0199220 "</f>
        <v xml:space="preserve">0199220 </v>
      </c>
      <c r="B1256" t="s">
        <v>4093</v>
      </c>
      <c r="C1256" t="s">
        <v>4116</v>
      </c>
      <c r="D1256" t="s">
        <v>4117</v>
      </c>
      <c r="E1256">
        <v>2</v>
      </c>
      <c r="F1256" t="s">
        <v>4118</v>
      </c>
      <c r="G1256" t="s">
        <v>4093</v>
      </c>
      <c r="H1256" t="s">
        <v>4116</v>
      </c>
      <c r="I1256" t="s">
        <v>4119</v>
      </c>
    </row>
    <row r="1257" spans="1:9">
      <c r="A1257" t="str">
        <f>"0199222 "</f>
        <v xml:space="preserve">0199222 </v>
      </c>
      <c r="B1257" t="s">
        <v>4093</v>
      </c>
      <c r="C1257" t="s">
        <v>4120</v>
      </c>
      <c r="D1257" t="s">
        <v>4121</v>
      </c>
      <c r="E1257">
        <v>1</v>
      </c>
      <c r="F1257" t="s">
        <v>4122</v>
      </c>
      <c r="G1257" t="s">
        <v>4093</v>
      </c>
      <c r="H1257" t="s">
        <v>4120</v>
      </c>
      <c r="I1257" t="s">
        <v>4123</v>
      </c>
    </row>
    <row r="1258" spans="1:9">
      <c r="A1258" t="str">
        <f>"0199223 "</f>
        <v xml:space="preserve">0199223 </v>
      </c>
      <c r="B1258" t="s">
        <v>4093</v>
      </c>
      <c r="C1258" t="s">
        <v>4124</v>
      </c>
      <c r="D1258" t="s">
        <v>4125</v>
      </c>
      <c r="E1258">
        <v>1</v>
      </c>
      <c r="F1258" t="s">
        <v>4126</v>
      </c>
      <c r="G1258" t="s">
        <v>4093</v>
      </c>
      <c r="H1258" t="s">
        <v>4124</v>
      </c>
      <c r="I1258" t="s">
        <v>4127</v>
      </c>
    </row>
    <row r="1259" spans="1:9">
      <c r="A1259" t="str">
        <f>"0199224 "</f>
        <v xml:space="preserve">0199224 </v>
      </c>
      <c r="B1259" t="s">
        <v>4093</v>
      </c>
      <c r="C1259" t="s">
        <v>4128</v>
      </c>
      <c r="D1259" t="s">
        <v>4129</v>
      </c>
      <c r="E1259">
        <v>3</v>
      </c>
      <c r="F1259" t="s">
        <v>4130</v>
      </c>
      <c r="G1259" t="s">
        <v>4093</v>
      </c>
      <c r="H1259" t="s">
        <v>4128</v>
      </c>
      <c r="I1259" t="s">
        <v>4131</v>
      </c>
    </row>
    <row r="1260" spans="1:9">
      <c r="A1260" t="str">
        <f>"0199233 "</f>
        <v xml:space="preserve">0199233 </v>
      </c>
      <c r="B1260" t="s">
        <v>4093</v>
      </c>
      <c r="C1260" t="s">
        <v>4132</v>
      </c>
      <c r="D1260" t="s">
        <v>4133</v>
      </c>
      <c r="E1260">
        <v>2</v>
      </c>
      <c r="F1260" t="s">
        <v>4134</v>
      </c>
      <c r="G1260" t="s">
        <v>4093</v>
      </c>
      <c r="H1260" t="s">
        <v>4132</v>
      </c>
      <c r="I1260" t="s">
        <v>253</v>
      </c>
    </row>
    <row r="1261" spans="1:9">
      <c r="A1261" t="str">
        <f>"0199235 "</f>
        <v xml:space="preserve">0199235 </v>
      </c>
      <c r="B1261" t="s">
        <v>4093</v>
      </c>
      <c r="C1261" t="s">
        <v>4135</v>
      </c>
      <c r="D1261" t="s">
        <v>4136</v>
      </c>
      <c r="E1261">
        <v>2</v>
      </c>
      <c r="F1261" t="s">
        <v>4137</v>
      </c>
      <c r="G1261" t="s">
        <v>4093</v>
      </c>
      <c r="H1261" t="s">
        <v>4135</v>
      </c>
      <c r="I1261" t="s">
        <v>3699</v>
      </c>
    </row>
    <row r="1262" spans="1:9">
      <c r="A1262" t="str">
        <f>"0199247 "</f>
        <v xml:space="preserve">0199247 </v>
      </c>
      <c r="B1262" t="s">
        <v>4093</v>
      </c>
      <c r="C1262" t="s">
        <v>4138</v>
      </c>
      <c r="D1262" t="s">
        <v>4139</v>
      </c>
      <c r="E1262">
        <v>2</v>
      </c>
      <c r="F1262" t="s">
        <v>4140</v>
      </c>
      <c r="G1262" t="s">
        <v>4093</v>
      </c>
      <c r="H1262" t="s">
        <v>4138</v>
      </c>
      <c r="I1262" t="s">
        <v>4141</v>
      </c>
    </row>
    <row r="1263" spans="1:9">
      <c r="A1263" t="str">
        <f>"0199257 "</f>
        <v xml:space="preserve">0199257 </v>
      </c>
      <c r="B1263" t="s">
        <v>4093</v>
      </c>
      <c r="C1263" t="s">
        <v>4142</v>
      </c>
      <c r="D1263" t="s">
        <v>4143</v>
      </c>
      <c r="E1263">
        <v>1</v>
      </c>
      <c r="F1263" t="s">
        <v>4144</v>
      </c>
      <c r="G1263" t="s">
        <v>4093</v>
      </c>
      <c r="H1263" t="s">
        <v>4142</v>
      </c>
      <c r="I1263" t="s">
        <v>4145</v>
      </c>
    </row>
    <row r="1264" spans="1:9">
      <c r="A1264" t="str">
        <f>"0199259 "</f>
        <v xml:space="preserve">0199259 </v>
      </c>
      <c r="B1264" t="s">
        <v>4093</v>
      </c>
      <c r="C1264" t="s">
        <v>4146</v>
      </c>
      <c r="D1264" t="s">
        <v>4147</v>
      </c>
      <c r="E1264">
        <v>1</v>
      </c>
      <c r="F1264" t="s">
        <v>4148</v>
      </c>
      <c r="G1264" t="s">
        <v>4093</v>
      </c>
      <c r="H1264" t="s">
        <v>4146</v>
      </c>
      <c r="I1264" t="s">
        <v>4149</v>
      </c>
    </row>
    <row r="1265" spans="1:9">
      <c r="A1265" t="str">
        <f>"0199261 "</f>
        <v xml:space="preserve">0199261 </v>
      </c>
      <c r="B1265" t="s">
        <v>4093</v>
      </c>
      <c r="C1265" t="s">
        <v>4150</v>
      </c>
      <c r="D1265" t="s">
        <v>4151</v>
      </c>
      <c r="E1265">
        <v>1</v>
      </c>
      <c r="F1265" t="s">
        <v>4152</v>
      </c>
      <c r="G1265" t="s">
        <v>4093</v>
      </c>
      <c r="H1265" t="s">
        <v>4150</v>
      </c>
      <c r="I1265" t="s">
        <v>4153</v>
      </c>
    </row>
    <row r="1266" spans="1:9">
      <c r="A1266" t="str">
        <f>"0199265 "</f>
        <v xml:space="preserve">0199265 </v>
      </c>
      <c r="B1266" t="s">
        <v>4093</v>
      </c>
      <c r="C1266" t="s">
        <v>4154</v>
      </c>
      <c r="D1266" t="s">
        <v>4155</v>
      </c>
      <c r="E1266">
        <v>1</v>
      </c>
      <c r="F1266" t="s">
        <v>4156</v>
      </c>
      <c r="G1266" t="s">
        <v>4093</v>
      </c>
      <c r="H1266" t="s">
        <v>4154</v>
      </c>
      <c r="I1266" t="s">
        <v>4157</v>
      </c>
    </row>
    <row r="1267" spans="1:9">
      <c r="A1267" t="str">
        <f>"0199269 "</f>
        <v xml:space="preserve">0199269 </v>
      </c>
      <c r="B1267" t="s">
        <v>4093</v>
      </c>
      <c r="C1267" t="s">
        <v>4158</v>
      </c>
      <c r="D1267" t="s">
        <v>4159</v>
      </c>
      <c r="E1267">
        <v>1</v>
      </c>
      <c r="F1267" t="s">
        <v>4160</v>
      </c>
      <c r="G1267" t="s">
        <v>4093</v>
      </c>
      <c r="H1267" t="s">
        <v>4158</v>
      </c>
      <c r="I1267" t="s">
        <v>390</v>
      </c>
    </row>
    <row r="1268" spans="1:9">
      <c r="A1268" t="str">
        <f>"0199272 "</f>
        <v xml:space="preserve">0199272 </v>
      </c>
      <c r="B1268" t="s">
        <v>4093</v>
      </c>
      <c r="C1268" t="s">
        <v>4161</v>
      </c>
      <c r="D1268" t="s">
        <v>4162</v>
      </c>
      <c r="E1268">
        <v>2</v>
      </c>
      <c r="F1268" t="s">
        <v>4163</v>
      </c>
      <c r="G1268" t="s">
        <v>4093</v>
      </c>
      <c r="H1268" t="s">
        <v>4161</v>
      </c>
      <c r="I1268" t="s">
        <v>4164</v>
      </c>
    </row>
    <row r="1269" spans="1:9">
      <c r="A1269" t="str">
        <f>"0199275 "</f>
        <v xml:space="preserve">0199275 </v>
      </c>
      <c r="B1269" t="s">
        <v>4093</v>
      </c>
      <c r="C1269" t="s">
        <v>4165</v>
      </c>
      <c r="D1269" t="s">
        <v>4166</v>
      </c>
      <c r="E1269">
        <v>1</v>
      </c>
      <c r="F1269" t="s">
        <v>4167</v>
      </c>
      <c r="G1269" t="s">
        <v>4093</v>
      </c>
      <c r="H1269" t="s">
        <v>4165</v>
      </c>
      <c r="I1269" t="s">
        <v>331</v>
      </c>
    </row>
    <row r="1270" spans="1:9">
      <c r="A1270" t="str">
        <f>"0199279 "</f>
        <v xml:space="preserve">0199279 </v>
      </c>
      <c r="B1270" t="s">
        <v>4093</v>
      </c>
      <c r="C1270" t="s">
        <v>4168</v>
      </c>
      <c r="D1270" t="s">
        <v>4169</v>
      </c>
      <c r="E1270">
        <v>2</v>
      </c>
      <c r="F1270" t="s">
        <v>1850</v>
      </c>
      <c r="G1270" t="s">
        <v>4093</v>
      </c>
      <c r="H1270" t="s">
        <v>4168</v>
      </c>
      <c r="I1270" t="s">
        <v>4170</v>
      </c>
    </row>
    <row r="1271" spans="1:9">
      <c r="A1271" t="str">
        <f>"0199284 "</f>
        <v xml:space="preserve">0199284 </v>
      </c>
      <c r="B1271" t="s">
        <v>4093</v>
      </c>
      <c r="C1271" t="s">
        <v>4171</v>
      </c>
      <c r="D1271" t="s">
        <v>4172</v>
      </c>
      <c r="E1271">
        <v>2</v>
      </c>
      <c r="F1271" t="s">
        <v>4173</v>
      </c>
      <c r="G1271" t="s">
        <v>4093</v>
      </c>
      <c r="H1271" t="s">
        <v>4171</v>
      </c>
      <c r="I1271" t="s">
        <v>4174</v>
      </c>
    </row>
    <row r="1272" spans="1:9">
      <c r="A1272" t="str">
        <f>"0199288 "</f>
        <v xml:space="preserve">0199288 </v>
      </c>
      <c r="B1272" t="s">
        <v>4093</v>
      </c>
      <c r="C1272" t="s">
        <v>4175</v>
      </c>
      <c r="D1272" t="s">
        <v>4176</v>
      </c>
      <c r="E1272">
        <v>2</v>
      </c>
      <c r="F1272" t="s">
        <v>4177</v>
      </c>
      <c r="G1272" t="s">
        <v>4093</v>
      </c>
      <c r="H1272" t="s">
        <v>4175</v>
      </c>
      <c r="I1272" t="s">
        <v>410</v>
      </c>
    </row>
    <row r="1273" spans="1:9">
      <c r="A1273" t="str">
        <f>"0199294 "</f>
        <v xml:space="preserve">0199294 </v>
      </c>
      <c r="B1273" t="s">
        <v>4093</v>
      </c>
      <c r="C1273" t="s">
        <v>4178</v>
      </c>
      <c r="D1273" t="s">
        <v>4179</v>
      </c>
      <c r="E1273">
        <v>1</v>
      </c>
      <c r="F1273" t="s">
        <v>4180</v>
      </c>
      <c r="G1273" t="s">
        <v>4093</v>
      </c>
      <c r="H1273" t="s">
        <v>4178</v>
      </c>
      <c r="I1273" t="s">
        <v>4181</v>
      </c>
    </row>
    <row r="1274" spans="1:9">
      <c r="A1274" t="str">
        <f>"0199297 "</f>
        <v xml:space="preserve">0199297 </v>
      </c>
      <c r="B1274" t="s">
        <v>4093</v>
      </c>
      <c r="C1274" t="s">
        <v>4182</v>
      </c>
      <c r="D1274" t="s">
        <v>4183</v>
      </c>
      <c r="E1274">
        <v>2</v>
      </c>
      <c r="F1274" t="s">
        <v>4184</v>
      </c>
      <c r="G1274" t="s">
        <v>4093</v>
      </c>
      <c r="H1274" t="s">
        <v>4182</v>
      </c>
      <c r="I1274" t="s">
        <v>4185</v>
      </c>
    </row>
    <row r="1275" spans="1:9">
      <c r="A1275" t="str">
        <f>"0199299 "</f>
        <v xml:space="preserve">0199299 </v>
      </c>
      <c r="B1275" t="s">
        <v>4093</v>
      </c>
      <c r="C1275" t="s">
        <v>4186</v>
      </c>
      <c r="D1275" t="s">
        <v>4187</v>
      </c>
      <c r="E1275">
        <v>1</v>
      </c>
      <c r="F1275" t="s">
        <v>4167</v>
      </c>
      <c r="G1275" t="s">
        <v>4093</v>
      </c>
      <c r="H1275" t="s">
        <v>4186</v>
      </c>
      <c r="I1275" t="s">
        <v>359</v>
      </c>
    </row>
    <row r="1276" spans="1:9">
      <c r="A1276" t="str">
        <f>"0199300 "</f>
        <v xml:space="preserve">0199300 </v>
      </c>
      <c r="B1276" t="s">
        <v>4093</v>
      </c>
      <c r="C1276" t="s">
        <v>4188</v>
      </c>
      <c r="D1276" t="s">
        <v>4189</v>
      </c>
      <c r="E1276" t="s">
        <v>20</v>
      </c>
      <c r="F1276" t="s">
        <v>1653</v>
      </c>
      <c r="G1276" t="s">
        <v>4093</v>
      </c>
      <c r="H1276" t="s">
        <v>4188</v>
      </c>
      <c r="I1276" t="s">
        <v>402</v>
      </c>
    </row>
    <row r="1277" spans="1:9">
      <c r="A1277" t="str">
        <f>"0199301 "</f>
        <v xml:space="preserve">0199301 </v>
      </c>
      <c r="B1277" t="s">
        <v>4093</v>
      </c>
      <c r="C1277" t="s">
        <v>4190</v>
      </c>
      <c r="D1277" t="s">
        <v>4191</v>
      </c>
      <c r="E1277" t="s">
        <v>20</v>
      </c>
      <c r="F1277" t="s">
        <v>4192</v>
      </c>
      <c r="G1277" t="s">
        <v>4093</v>
      </c>
      <c r="H1277" t="s">
        <v>4190</v>
      </c>
      <c r="I1277" t="s">
        <v>4193</v>
      </c>
    </row>
    <row r="1278" spans="1:9">
      <c r="A1278" t="str">
        <f>"0199305 "</f>
        <v xml:space="preserve">0199305 </v>
      </c>
      <c r="B1278" t="s">
        <v>4093</v>
      </c>
      <c r="C1278" t="s">
        <v>4194</v>
      </c>
      <c r="D1278" t="s">
        <v>4195</v>
      </c>
      <c r="E1278" t="s">
        <v>20</v>
      </c>
      <c r="F1278" t="s">
        <v>4196</v>
      </c>
      <c r="G1278" t="s">
        <v>4093</v>
      </c>
      <c r="H1278" t="s">
        <v>4194</v>
      </c>
      <c r="I1278" t="s">
        <v>4197</v>
      </c>
    </row>
    <row r="1279" spans="1:9">
      <c r="A1279" t="str">
        <f>"0199306 "</f>
        <v xml:space="preserve">0199306 </v>
      </c>
      <c r="B1279" t="s">
        <v>4093</v>
      </c>
      <c r="C1279" t="s">
        <v>4198</v>
      </c>
      <c r="D1279" t="s">
        <v>4199</v>
      </c>
      <c r="E1279">
        <v>3</v>
      </c>
      <c r="F1279" t="s">
        <v>4200</v>
      </c>
      <c r="G1279" t="s">
        <v>4093</v>
      </c>
      <c r="H1279" t="s">
        <v>4198</v>
      </c>
      <c r="I1279" t="s">
        <v>418</v>
      </c>
    </row>
    <row r="1280" spans="1:9">
      <c r="A1280" t="str">
        <f>"0199314 "</f>
        <v xml:space="preserve">0199314 </v>
      </c>
      <c r="B1280" t="s">
        <v>4093</v>
      </c>
      <c r="C1280" t="s">
        <v>4201</v>
      </c>
      <c r="D1280" t="s">
        <v>4202</v>
      </c>
      <c r="E1280">
        <v>1</v>
      </c>
      <c r="F1280" t="s">
        <v>4203</v>
      </c>
      <c r="G1280" t="s">
        <v>4093</v>
      </c>
      <c r="H1280" t="s">
        <v>4201</v>
      </c>
      <c r="I1280" t="s">
        <v>394</v>
      </c>
    </row>
    <row r="1281" spans="1:9">
      <c r="A1281" t="str">
        <f>"0199316 "</f>
        <v xml:space="preserve">0199316 </v>
      </c>
      <c r="B1281" t="s">
        <v>4093</v>
      </c>
      <c r="C1281" t="s">
        <v>4204</v>
      </c>
      <c r="D1281" t="s">
        <v>4205</v>
      </c>
      <c r="E1281">
        <v>1</v>
      </c>
      <c r="F1281" t="s">
        <v>1645</v>
      </c>
      <c r="G1281" t="s">
        <v>4093</v>
      </c>
      <c r="H1281" t="s">
        <v>4204</v>
      </c>
      <c r="I1281" t="s">
        <v>4206</v>
      </c>
    </row>
    <row r="1282" spans="1:9">
      <c r="A1282" t="str">
        <f>"0199322 "</f>
        <v xml:space="preserve">0199322 </v>
      </c>
      <c r="B1282" t="s">
        <v>4093</v>
      </c>
      <c r="C1282" t="s">
        <v>4207</v>
      </c>
      <c r="D1282" t="s">
        <v>4208</v>
      </c>
      <c r="E1282">
        <v>1</v>
      </c>
      <c r="F1282" t="s">
        <v>3979</v>
      </c>
      <c r="G1282" t="s">
        <v>4093</v>
      </c>
      <c r="H1282" t="s">
        <v>4207</v>
      </c>
      <c r="I1282" t="s">
        <v>4209</v>
      </c>
    </row>
    <row r="1283" spans="1:9">
      <c r="A1283" t="str">
        <f>"0199323 "</f>
        <v xml:space="preserve">0199323 </v>
      </c>
      <c r="B1283" t="s">
        <v>4093</v>
      </c>
      <c r="C1283" t="s">
        <v>4210</v>
      </c>
      <c r="D1283" t="s">
        <v>4211</v>
      </c>
      <c r="E1283">
        <v>5</v>
      </c>
      <c r="F1283" t="s">
        <v>4212</v>
      </c>
      <c r="G1283" t="s">
        <v>4093</v>
      </c>
      <c r="H1283" t="s">
        <v>4210</v>
      </c>
      <c r="I1283" t="s">
        <v>4213</v>
      </c>
    </row>
    <row r="1284" spans="1:9">
      <c r="A1284" t="str">
        <f>"0199326 "</f>
        <v xml:space="preserve">0199326 </v>
      </c>
      <c r="B1284" t="s">
        <v>4093</v>
      </c>
      <c r="C1284" t="s">
        <v>4214</v>
      </c>
      <c r="D1284" t="s">
        <v>4215</v>
      </c>
      <c r="E1284">
        <v>5</v>
      </c>
      <c r="F1284" t="s">
        <v>4107</v>
      </c>
      <c r="G1284" t="s">
        <v>4093</v>
      </c>
      <c r="H1284" t="s">
        <v>4214</v>
      </c>
      <c r="I1284" t="s">
        <v>4216</v>
      </c>
    </row>
    <row r="1285" spans="1:9">
      <c r="A1285" t="str">
        <f>"0199333 "</f>
        <v xml:space="preserve">0199333 </v>
      </c>
      <c r="B1285" t="s">
        <v>4093</v>
      </c>
      <c r="C1285" t="s">
        <v>4217</v>
      </c>
      <c r="D1285" t="s">
        <v>4218</v>
      </c>
      <c r="E1285">
        <v>1</v>
      </c>
      <c r="F1285" t="s">
        <v>4219</v>
      </c>
      <c r="G1285" t="s">
        <v>4093</v>
      </c>
      <c r="H1285" t="s">
        <v>4217</v>
      </c>
      <c r="I1285" t="s">
        <v>4220</v>
      </c>
    </row>
    <row r="1286" spans="1:9">
      <c r="A1286" t="str">
        <f>"0199343 "</f>
        <v xml:space="preserve">0199343 </v>
      </c>
      <c r="B1286" t="s">
        <v>4093</v>
      </c>
      <c r="C1286" t="s">
        <v>4221</v>
      </c>
      <c r="D1286" t="s">
        <v>4222</v>
      </c>
      <c r="E1286">
        <v>4</v>
      </c>
      <c r="F1286" t="s">
        <v>2082</v>
      </c>
      <c r="G1286" t="s">
        <v>4093</v>
      </c>
      <c r="H1286" t="s">
        <v>4221</v>
      </c>
      <c r="I1286" t="s">
        <v>4223</v>
      </c>
    </row>
    <row r="1287" spans="1:9">
      <c r="A1287" t="str">
        <f>"0199347 "</f>
        <v xml:space="preserve">0199347 </v>
      </c>
      <c r="B1287" t="s">
        <v>4093</v>
      </c>
      <c r="C1287" t="s">
        <v>4224</v>
      </c>
      <c r="D1287" t="s">
        <v>4225</v>
      </c>
      <c r="E1287">
        <v>1</v>
      </c>
      <c r="F1287" t="s">
        <v>4226</v>
      </c>
      <c r="G1287" t="s">
        <v>4093</v>
      </c>
      <c r="H1287" t="s">
        <v>4224</v>
      </c>
      <c r="I1287" t="s">
        <v>2847</v>
      </c>
    </row>
    <row r="1288" spans="1:9">
      <c r="A1288" t="str">
        <f>"0199349 "</f>
        <v xml:space="preserve">0199349 </v>
      </c>
      <c r="B1288" t="s">
        <v>4093</v>
      </c>
      <c r="C1288" t="s">
        <v>4227</v>
      </c>
      <c r="D1288" t="s">
        <v>4228</v>
      </c>
      <c r="E1288">
        <v>1</v>
      </c>
      <c r="F1288" t="s">
        <v>4229</v>
      </c>
      <c r="G1288" t="s">
        <v>4093</v>
      </c>
      <c r="H1288" t="s">
        <v>4227</v>
      </c>
      <c r="I1288" t="s">
        <v>4230</v>
      </c>
    </row>
    <row r="1289" spans="1:9">
      <c r="A1289" t="str">
        <f>"0199352 "</f>
        <v xml:space="preserve">0199352 </v>
      </c>
      <c r="B1289" t="s">
        <v>4093</v>
      </c>
      <c r="C1289" t="s">
        <v>4231</v>
      </c>
      <c r="D1289" t="s">
        <v>4232</v>
      </c>
      <c r="E1289">
        <v>3</v>
      </c>
      <c r="F1289" t="s">
        <v>4233</v>
      </c>
      <c r="G1289" t="s">
        <v>4093</v>
      </c>
      <c r="H1289" t="s">
        <v>4231</v>
      </c>
      <c r="I1289" t="s">
        <v>4234</v>
      </c>
    </row>
    <row r="1290" spans="1:9">
      <c r="A1290" t="str">
        <f>"0199353 "</f>
        <v xml:space="preserve">0199353 </v>
      </c>
      <c r="B1290" t="s">
        <v>4093</v>
      </c>
      <c r="C1290" t="s">
        <v>4235</v>
      </c>
      <c r="D1290" t="s">
        <v>4236</v>
      </c>
      <c r="E1290">
        <v>1</v>
      </c>
      <c r="F1290" t="s">
        <v>4237</v>
      </c>
      <c r="G1290" t="s">
        <v>4093</v>
      </c>
      <c r="H1290" t="s">
        <v>4235</v>
      </c>
      <c r="I1290" t="s">
        <v>4238</v>
      </c>
    </row>
    <row r="1291" spans="1:9">
      <c r="A1291" t="str">
        <f>"0199354 "</f>
        <v xml:space="preserve">0199354 </v>
      </c>
      <c r="B1291" t="s">
        <v>4093</v>
      </c>
      <c r="C1291" t="s">
        <v>4239</v>
      </c>
      <c r="D1291" t="s">
        <v>4240</v>
      </c>
      <c r="E1291">
        <v>4</v>
      </c>
      <c r="F1291" t="s">
        <v>4241</v>
      </c>
      <c r="G1291" t="s">
        <v>4093</v>
      </c>
      <c r="H1291" t="s">
        <v>4239</v>
      </c>
      <c r="I1291" t="s">
        <v>4242</v>
      </c>
    </row>
    <row r="1292" spans="1:9">
      <c r="A1292" t="str">
        <f>"0199355 "</f>
        <v xml:space="preserve">0199355 </v>
      </c>
      <c r="B1292" t="s">
        <v>4093</v>
      </c>
      <c r="C1292" t="s">
        <v>4243</v>
      </c>
      <c r="D1292" t="s">
        <v>4244</v>
      </c>
      <c r="E1292">
        <v>2</v>
      </c>
      <c r="F1292" t="s">
        <v>2238</v>
      </c>
      <c r="G1292" t="s">
        <v>4093</v>
      </c>
      <c r="H1292" t="s">
        <v>4243</v>
      </c>
      <c r="I1292" t="s">
        <v>4245</v>
      </c>
    </row>
    <row r="1293" spans="1:9">
      <c r="A1293" t="str">
        <f>"0199356 "</f>
        <v xml:space="preserve">0199356 </v>
      </c>
      <c r="B1293" t="s">
        <v>4093</v>
      </c>
      <c r="C1293" t="s">
        <v>4246</v>
      </c>
      <c r="D1293" t="s">
        <v>4247</v>
      </c>
      <c r="E1293">
        <v>3</v>
      </c>
      <c r="F1293" t="s">
        <v>3979</v>
      </c>
      <c r="G1293" t="s">
        <v>4093</v>
      </c>
      <c r="H1293" t="s">
        <v>4246</v>
      </c>
      <c r="I1293" t="s">
        <v>4248</v>
      </c>
    </row>
    <row r="1294" spans="1:9">
      <c r="A1294" t="str">
        <f>"0199357 "</f>
        <v xml:space="preserve">0199357 </v>
      </c>
      <c r="B1294" t="s">
        <v>4093</v>
      </c>
      <c r="C1294" t="s">
        <v>4249</v>
      </c>
      <c r="D1294" t="s">
        <v>4250</v>
      </c>
      <c r="E1294" t="s">
        <v>20</v>
      </c>
      <c r="F1294" t="s">
        <v>4251</v>
      </c>
      <c r="G1294" t="s">
        <v>4093</v>
      </c>
      <c r="H1294" t="s">
        <v>4249</v>
      </c>
      <c r="I1294" t="s">
        <v>4252</v>
      </c>
    </row>
    <row r="1295" spans="1:9">
      <c r="A1295" t="str">
        <f>"0199360 "</f>
        <v xml:space="preserve">0199360 </v>
      </c>
      <c r="B1295" t="s">
        <v>4093</v>
      </c>
      <c r="C1295" t="s">
        <v>4253</v>
      </c>
      <c r="D1295" t="s">
        <v>4254</v>
      </c>
      <c r="E1295">
        <v>1</v>
      </c>
      <c r="F1295" t="s">
        <v>4255</v>
      </c>
      <c r="G1295" t="s">
        <v>4093</v>
      </c>
      <c r="H1295" t="s">
        <v>4253</v>
      </c>
      <c r="I1295" t="s">
        <v>4256</v>
      </c>
    </row>
    <row r="1296" spans="1:9">
      <c r="A1296" t="str">
        <f>"0199363 "</f>
        <v xml:space="preserve">0199363 </v>
      </c>
      <c r="B1296" t="s">
        <v>4093</v>
      </c>
      <c r="C1296" t="s">
        <v>4257</v>
      </c>
      <c r="D1296" t="s">
        <v>4258</v>
      </c>
      <c r="E1296">
        <v>1</v>
      </c>
      <c r="F1296" t="s">
        <v>4259</v>
      </c>
      <c r="G1296" t="s">
        <v>4093</v>
      </c>
      <c r="H1296" t="s">
        <v>4257</v>
      </c>
      <c r="I1296" t="s">
        <v>4260</v>
      </c>
    </row>
    <row r="1297" spans="1:9">
      <c r="A1297" t="str">
        <f>"0199371 "</f>
        <v xml:space="preserve">0199371 </v>
      </c>
      <c r="B1297" t="s">
        <v>4093</v>
      </c>
      <c r="C1297" t="s">
        <v>4261</v>
      </c>
      <c r="D1297" t="s">
        <v>4262</v>
      </c>
      <c r="E1297">
        <v>1</v>
      </c>
      <c r="F1297" t="s">
        <v>4263</v>
      </c>
      <c r="G1297" t="s">
        <v>4093</v>
      </c>
      <c r="H1297" t="s">
        <v>4261</v>
      </c>
      <c r="I1297" t="s">
        <v>4264</v>
      </c>
    </row>
    <row r="1298" spans="1:9">
      <c r="A1298" t="str">
        <f>"0199373 "</f>
        <v xml:space="preserve">0199373 </v>
      </c>
      <c r="B1298" t="s">
        <v>4093</v>
      </c>
      <c r="C1298" t="s">
        <v>4265</v>
      </c>
      <c r="D1298" t="s">
        <v>4266</v>
      </c>
      <c r="E1298">
        <v>1</v>
      </c>
      <c r="F1298" t="s">
        <v>4267</v>
      </c>
      <c r="G1298" t="s">
        <v>4093</v>
      </c>
      <c r="H1298" t="s">
        <v>4265</v>
      </c>
      <c r="I1298" t="s">
        <v>4268</v>
      </c>
    </row>
    <row r="1299" spans="1:9">
      <c r="A1299" t="str">
        <f>"0199378 "</f>
        <v xml:space="preserve">0199378 </v>
      </c>
      <c r="B1299" t="s">
        <v>4093</v>
      </c>
      <c r="C1299" t="s">
        <v>4269</v>
      </c>
      <c r="D1299" t="s">
        <v>4270</v>
      </c>
      <c r="E1299">
        <v>2</v>
      </c>
      <c r="F1299" t="s">
        <v>4271</v>
      </c>
      <c r="G1299" t="s">
        <v>4093</v>
      </c>
      <c r="H1299" t="s">
        <v>4269</v>
      </c>
      <c r="I1299" t="s">
        <v>4272</v>
      </c>
    </row>
    <row r="1300" spans="1:9">
      <c r="A1300" t="str">
        <f>"0199379 "</f>
        <v xml:space="preserve">0199379 </v>
      </c>
      <c r="B1300" t="s">
        <v>4093</v>
      </c>
      <c r="C1300" t="s">
        <v>4273</v>
      </c>
      <c r="D1300" t="s">
        <v>4274</v>
      </c>
      <c r="E1300">
        <v>1</v>
      </c>
      <c r="F1300" t="s">
        <v>4275</v>
      </c>
      <c r="G1300" t="s">
        <v>4093</v>
      </c>
      <c r="H1300" t="s">
        <v>4273</v>
      </c>
      <c r="I1300" t="s">
        <v>4276</v>
      </c>
    </row>
    <row r="1301" spans="1:9">
      <c r="A1301" t="str">
        <f>"0199383 "</f>
        <v xml:space="preserve">0199383 </v>
      </c>
      <c r="B1301" t="s">
        <v>4093</v>
      </c>
      <c r="C1301" t="s">
        <v>4277</v>
      </c>
      <c r="D1301" t="s">
        <v>4278</v>
      </c>
      <c r="E1301">
        <v>4</v>
      </c>
      <c r="F1301" t="s">
        <v>4279</v>
      </c>
      <c r="G1301" t="s">
        <v>4093</v>
      </c>
      <c r="H1301" t="s">
        <v>4277</v>
      </c>
      <c r="I1301" t="s">
        <v>4280</v>
      </c>
    </row>
    <row r="1302" spans="1:9">
      <c r="A1302" t="str">
        <f>"0199385 "</f>
        <v xml:space="preserve">0199385 </v>
      </c>
      <c r="B1302" t="s">
        <v>4093</v>
      </c>
      <c r="C1302" t="s">
        <v>4281</v>
      </c>
      <c r="D1302" t="s">
        <v>4282</v>
      </c>
      <c r="E1302">
        <v>1</v>
      </c>
      <c r="F1302" t="s">
        <v>4283</v>
      </c>
      <c r="G1302" t="s">
        <v>4093</v>
      </c>
      <c r="H1302" t="s">
        <v>4281</v>
      </c>
      <c r="I1302" t="s">
        <v>4284</v>
      </c>
    </row>
    <row r="1303" spans="1:9">
      <c r="A1303" t="str">
        <f>"0199386 "</f>
        <v xml:space="preserve">0199386 </v>
      </c>
      <c r="B1303" t="s">
        <v>4093</v>
      </c>
      <c r="C1303" t="s">
        <v>4285</v>
      </c>
      <c r="D1303" t="s">
        <v>4286</v>
      </c>
      <c r="E1303">
        <v>1</v>
      </c>
      <c r="F1303" t="s">
        <v>4287</v>
      </c>
      <c r="G1303" t="s">
        <v>4093</v>
      </c>
      <c r="H1303" t="s">
        <v>4285</v>
      </c>
      <c r="I1303" t="s">
        <v>4288</v>
      </c>
    </row>
    <row r="1304" spans="1:9">
      <c r="A1304" t="str">
        <f>"0199387 "</f>
        <v xml:space="preserve">0199387 </v>
      </c>
      <c r="B1304" t="s">
        <v>4093</v>
      </c>
      <c r="C1304" t="s">
        <v>4289</v>
      </c>
      <c r="D1304" t="s">
        <v>4290</v>
      </c>
      <c r="E1304" t="s">
        <v>20</v>
      </c>
      <c r="F1304" t="s">
        <v>4291</v>
      </c>
      <c r="G1304" t="s">
        <v>4093</v>
      </c>
      <c r="H1304" t="s">
        <v>4289</v>
      </c>
      <c r="I1304" t="s">
        <v>4292</v>
      </c>
    </row>
    <row r="1305" spans="1:9">
      <c r="A1305" t="str">
        <f>"0199388 "</f>
        <v xml:space="preserve">0199388 </v>
      </c>
      <c r="B1305" t="s">
        <v>4093</v>
      </c>
      <c r="C1305" t="s">
        <v>4293</v>
      </c>
      <c r="D1305" t="s">
        <v>4294</v>
      </c>
      <c r="E1305">
        <v>2</v>
      </c>
      <c r="F1305" t="s">
        <v>4295</v>
      </c>
      <c r="G1305" t="s">
        <v>4093</v>
      </c>
      <c r="H1305" t="s">
        <v>4293</v>
      </c>
      <c r="I1305" t="s">
        <v>4296</v>
      </c>
    </row>
    <row r="1306" spans="1:9">
      <c r="A1306" t="str">
        <f>"0199389 "</f>
        <v xml:space="preserve">0199389 </v>
      </c>
      <c r="B1306" t="s">
        <v>4093</v>
      </c>
      <c r="C1306" t="s">
        <v>4297</v>
      </c>
      <c r="D1306" t="s">
        <v>4298</v>
      </c>
      <c r="E1306">
        <v>1</v>
      </c>
      <c r="F1306" t="s">
        <v>4299</v>
      </c>
      <c r="G1306" t="s">
        <v>4093</v>
      </c>
      <c r="H1306" t="s">
        <v>4297</v>
      </c>
      <c r="I1306" t="s">
        <v>4300</v>
      </c>
    </row>
    <row r="1307" spans="1:9">
      <c r="A1307" t="str">
        <f>"0199394 "</f>
        <v xml:space="preserve">0199394 </v>
      </c>
      <c r="B1307" t="s">
        <v>4093</v>
      </c>
      <c r="C1307" t="s">
        <v>4301</v>
      </c>
      <c r="D1307" t="s">
        <v>4302</v>
      </c>
      <c r="E1307">
        <v>1</v>
      </c>
      <c r="F1307" t="s">
        <v>4303</v>
      </c>
      <c r="G1307" t="s">
        <v>4093</v>
      </c>
      <c r="H1307" t="s">
        <v>4301</v>
      </c>
      <c r="I1307" t="s">
        <v>474</v>
      </c>
    </row>
    <row r="1308" spans="1:9">
      <c r="A1308" t="str">
        <f>"0199395 "</f>
        <v xml:space="preserve">0199395 </v>
      </c>
      <c r="B1308" t="s">
        <v>4093</v>
      </c>
      <c r="C1308" t="s">
        <v>4304</v>
      </c>
      <c r="D1308" t="s">
        <v>4305</v>
      </c>
      <c r="E1308">
        <v>1</v>
      </c>
      <c r="F1308" t="s">
        <v>4306</v>
      </c>
      <c r="G1308" t="s">
        <v>4093</v>
      </c>
      <c r="H1308" t="s">
        <v>4304</v>
      </c>
      <c r="I1308" t="s">
        <v>4307</v>
      </c>
    </row>
    <row r="1309" spans="1:9">
      <c r="A1309" t="str">
        <f>"0199397 "</f>
        <v xml:space="preserve">0199397 </v>
      </c>
      <c r="B1309" t="s">
        <v>4093</v>
      </c>
      <c r="C1309" t="s">
        <v>4308</v>
      </c>
      <c r="D1309" t="s">
        <v>4309</v>
      </c>
      <c r="E1309">
        <v>2</v>
      </c>
      <c r="F1309" t="s">
        <v>4310</v>
      </c>
      <c r="G1309" t="s">
        <v>4093</v>
      </c>
      <c r="H1309" t="s">
        <v>4308</v>
      </c>
      <c r="I1309" t="s">
        <v>4311</v>
      </c>
    </row>
    <row r="1310" spans="1:9">
      <c r="A1310" t="str">
        <f>"0199399 "</f>
        <v xml:space="preserve">0199399 </v>
      </c>
      <c r="B1310" t="s">
        <v>4093</v>
      </c>
      <c r="C1310" t="s">
        <v>4312</v>
      </c>
      <c r="D1310" t="s">
        <v>4313</v>
      </c>
      <c r="E1310" t="s">
        <v>20</v>
      </c>
      <c r="F1310" t="s">
        <v>1758</v>
      </c>
      <c r="G1310" t="s">
        <v>4093</v>
      </c>
      <c r="H1310" t="s">
        <v>4312</v>
      </c>
      <c r="I1310" t="s">
        <v>4314</v>
      </c>
    </row>
    <row r="1311" spans="1:9">
      <c r="A1311" t="str">
        <f>"0199400 "</f>
        <v xml:space="preserve">0199400 </v>
      </c>
      <c r="B1311" t="s">
        <v>4093</v>
      </c>
      <c r="C1311" t="s">
        <v>4315</v>
      </c>
      <c r="D1311" t="s">
        <v>4316</v>
      </c>
      <c r="E1311">
        <v>1</v>
      </c>
      <c r="F1311" t="s">
        <v>4317</v>
      </c>
      <c r="G1311" t="s">
        <v>4093</v>
      </c>
      <c r="H1311" t="s">
        <v>4315</v>
      </c>
      <c r="I1311" t="s">
        <v>4318</v>
      </c>
    </row>
    <row r="1312" spans="1:9">
      <c r="A1312" t="str">
        <f>"0199401 "</f>
        <v xml:space="preserve">0199401 </v>
      </c>
      <c r="B1312" t="s">
        <v>4093</v>
      </c>
      <c r="C1312" t="s">
        <v>4319</v>
      </c>
      <c r="D1312" t="s">
        <v>4320</v>
      </c>
      <c r="E1312">
        <v>1</v>
      </c>
      <c r="F1312" t="s">
        <v>4321</v>
      </c>
      <c r="G1312" t="s">
        <v>4093</v>
      </c>
      <c r="H1312" t="s">
        <v>4319</v>
      </c>
      <c r="I1312" t="s">
        <v>520</v>
      </c>
    </row>
    <row r="1313" spans="1:9">
      <c r="A1313" t="str">
        <f>"0199403 "</f>
        <v xml:space="preserve">0199403 </v>
      </c>
      <c r="B1313" t="s">
        <v>4093</v>
      </c>
      <c r="C1313" t="s">
        <v>4322</v>
      </c>
      <c r="D1313" t="s">
        <v>4323</v>
      </c>
      <c r="E1313">
        <v>1</v>
      </c>
      <c r="F1313" t="s">
        <v>4324</v>
      </c>
      <c r="G1313" t="s">
        <v>4093</v>
      </c>
      <c r="H1313" t="s">
        <v>4322</v>
      </c>
      <c r="I1313" t="s">
        <v>4325</v>
      </c>
    </row>
    <row r="1314" spans="1:9">
      <c r="A1314" t="str">
        <f>"0199405 "</f>
        <v xml:space="preserve">0199405 </v>
      </c>
      <c r="B1314" t="s">
        <v>4093</v>
      </c>
      <c r="C1314" t="s">
        <v>4326</v>
      </c>
      <c r="D1314" t="s">
        <v>4327</v>
      </c>
      <c r="E1314">
        <v>5</v>
      </c>
      <c r="F1314" t="s">
        <v>4328</v>
      </c>
      <c r="G1314" t="s">
        <v>4093</v>
      </c>
      <c r="H1314" t="s">
        <v>4326</v>
      </c>
      <c r="I1314" t="s">
        <v>433</v>
      </c>
    </row>
    <row r="1315" spans="1:9">
      <c r="A1315" t="str">
        <f>"0199410 "</f>
        <v xml:space="preserve">0199410 </v>
      </c>
      <c r="B1315" t="s">
        <v>4093</v>
      </c>
      <c r="C1315" t="s">
        <v>4329</v>
      </c>
      <c r="D1315" t="s">
        <v>4330</v>
      </c>
      <c r="E1315">
        <v>2</v>
      </c>
      <c r="F1315" t="s">
        <v>4331</v>
      </c>
      <c r="G1315" t="s">
        <v>4093</v>
      </c>
      <c r="H1315" t="s">
        <v>4329</v>
      </c>
      <c r="I1315" t="s">
        <v>4332</v>
      </c>
    </row>
    <row r="1316" spans="1:9">
      <c r="A1316" t="str">
        <f>"0199411 "</f>
        <v xml:space="preserve">0199411 </v>
      </c>
      <c r="B1316" t="s">
        <v>4093</v>
      </c>
      <c r="C1316" t="s">
        <v>4333</v>
      </c>
      <c r="D1316" t="s">
        <v>4334</v>
      </c>
      <c r="E1316">
        <v>2</v>
      </c>
      <c r="F1316" t="s">
        <v>4328</v>
      </c>
      <c r="G1316" t="s">
        <v>4093</v>
      </c>
      <c r="H1316" t="s">
        <v>4333</v>
      </c>
      <c r="I1316" t="s">
        <v>4335</v>
      </c>
    </row>
    <row r="1317" spans="1:9">
      <c r="A1317" t="str">
        <f>"0199413 "</f>
        <v xml:space="preserve">0199413 </v>
      </c>
      <c r="B1317" t="s">
        <v>4093</v>
      </c>
      <c r="C1317" t="s">
        <v>4336</v>
      </c>
      <c r="D1317" t="s">
        <v>4337</v>
      </c>
      <c r="E1317">
        <v>2</v>
      </c>
      <c r="F1317" t="s">
        <v>4338</v>
      </c>
      <c r="G1317" t="s">
        <v>4093</v>
      </c>
      <c r="H1317" t="s">
        <v>4336</v>
      </c>
      <c r="I1317" t="s">
        <v>4339</v>
      </c>
    </row>
    <row r="1318" spans="1:9">
      <c r="A1318" t="str">
        <f>"0199415 "</f>
        <v xml:space="preserve">0199415 </v>
      </c>
      <c r="B1318" t="s">
        <v>4093</v>
      </c>
      <c r="C1318" t="s">
        <v>4340</v>
      </c>
      <c r="D1318" t="s">
        <v>4341</v>
      </c>
      <c r="E1318">
        <v>3</v>
      </c>
      <c r="F1318" t="s">
        <v>4342</v>
      </c>
      <c r="G1318" t="s">
        <v>4093</v>
      </c>
      <c r="H1318" t="s">
        <v>4340</v>
      </c>
      <c r="I1318" t="s">
        <v>4343</v>
      </c>
    </row>
    <row r="1319" spans="1:9">
      <c r="A1319" t="str">
        <f>"0199419 "</f>
        <v xml:space="preserve">0199419 </v>
      </c>
      <c r="B1319" t="s">
        <v>4093</v>
      </c>
      <c r="C1319" t="s">
        <v>4344</v>
      </c>
      <c r="D1319" t="s">
        <v>4345</v>
      </c>
      <c r="E1319" t="s">
        <v>20</v>
      </c>
      <c r="F1319" t="s">
        <v>4346</v>
      </c>
      <c r="G1319" t="s">
        <v>4093</v>
      </c>
      <c r="H1319" t="s">
        <v>4344</v>
      </c>
      <c r="I1319" t="s">
        <v>2886</v>
      </c>
    </row>
    <row r="1320" spans="1:9">
      <c r="A1320" t="str">
        <f>"0199420 "</f>
        <v xml:space="preserve">0199420 </v>
      </c>
      <c r="B1320" t="s">
        <v>4093</v>
      </c>
      <c r="C1320" t="s">
        <v>4347</v>
      </c>
      <c r="D1320" t="s">
        <v>4348</v>
      </c>
      <c r="E1320">
        <v>1</v>
      </c>
      <c r="F1320" t="s">
        <v>4349</v>
      </c>
      <c r="G1320" t="s">
        <v>4093</v>
      </c>
      <c r="H1320" t="s">
        <v>4347</v>
      </c>
      <c r="I1320" t="s">
        <v>4350</v>
      </c>
    </row>
    <row r="1321" spans="1:9">
      <c r="A1321" t="str">
        <f>"0199422 "</f>
        <v xml:space="preserve">0199422 </v>
      </c>
      <c r="B1321" t="s">
        <v>4093</v>
      </c>
      <c r="C1321" t="s">
        <v>4351</v>
      </c>
      <c r="D1321" t="s">
        <v>4352</v>
      </c>
      <c r="E1321">
        <v>2</v>
      </c>
      <c r="F1321" t="s">
        <v>1606</v>
      </c>
      <c r="G1321" t="s">
        <v>4093</v>
      </c>
      <c r="H1321" t="s">
        <v>4351</v>
      </c>
      <c r="I1321" t="s">
        <v>4353</v>
      </c>
    </row>
    <row r="1322" spans="1:9">
      <c r="A1322" t="str">
        <f>"0199432 "</f>
        <v xml:space="preserve">0199432 </v>
      </c>
      <c r="B1322" t="s">
        <v>4093</v>
      </c>
      <c r="C1322" t="s">
        <v>4354</v>
      </c>
      <c r="D1322" t="s">
        <v>4355</v>
      </c>
      <c r="E1322">
        <v>2</v>
      </c>
      <c r="F1322" t="s">
        <v>4356</v>
      </c>
      <c r="G1322" t="s">
        <v>4093</v>
      </c>
      <c r="H1322" t="s">
        <v>4354</v>
      </c>
      <c r="I1322" t="s">
        <v>467</v>
      </c>
    </row>
    <row r="1323" spans="1:9">
      <c r="A1323" t="str">
        <f>"0199433 "</f>
        <v xml:space="preserve">0199433 </v>
      </c>
      <c r="B1323" t="s">
        <v>4093</v>
      </c>
      <c r="C1323" t="s">
        <v>4357</v>
      </c>
      <c r="D1323" t="s">
        <v>4358</v>
      </c>
      <c r="E1323">
        <v>1</v>
      </c>
      <c r="F1323" t="s">
        <v>4160</v>
      </c>
      <c r="G1323" t="s">
        <v>4093</v>
      </c>
      <c r="H1323" t="s">
        <v>4357</v>
      </c>
      <c r="I1323" t="s">
        <v>4359</v>
      </c>
    </row>
    <row r="1324" spans="1:9">
      <c r="A1324" t="str">
        <f>"0199435 "</f>
        <v xml:space="preserve">0199435 </v>
      </c>
      <c r="B1324" t="s">
        <v>4093</v>
      </c>
      <c r="C1324" t="s">
        <v>4360</v>
      </c>
      <c r="D1324" t="s">
        <v>4361</v>
      </c>
      <c r="E1324" t="s">
        <v>20</v>
      </c>
      <c r="F1324" t="s">
        <v>1698</v>
      </c>
      <c r="G1324" t="s">
        <v>4093</v>
      </c>
      <c r="H1324" t="s">
        <v>4360</v>
      </c>
      <c r="I1324" t="s">
        <v>4362</v>
      </c>
    </row>
    <row r="1325" spans="1:9">
      <c r="A1325" t="str">
        <f>"0199440 "</f>
        <v xml:space="preserve">0199440 </v>
      </c>
      <c r="B1325" t="s">
        <v>4093</v>
      </c>
      <c r="C1325" t="s">
        <v>4363</v>
      </c>
      <c r="D1325" t="s">
        <v>4364</v>
      </c>
      <c r="E1325">
        <v>1</v>
      </c>
      <c r="F1325" t="s">
        <v>1664</v>
      </c>
      <c r="G1325" t="s">
        <v>4093</v>
      </c>
      <c r="H1325" t="s">
        <v>4363</v>
      </c>
      <c r="I1325" t="s">
        <v>4365</v>
      </c>
    </row>
    <row r="1326" spans="1:9">
      <c r="A1326" t="str">
        <f>"0199441 "</f>
        <v xml:space="preserve">0199441 </v>
      </c>
      <c r="B1326" t="s">
        <v>4093</v>
      </c>
      <c r="C1326" t="s">
        <v>4366</v>
      </c>
      <c r="D1326" t="s">
        <v>4367</v>
      </c>
      <c r="E1326">
        <v>5</v>
      </c>
      <c r="F1326" t="s">
        <v>4368</v>
      </c>
      <c r="G1326" t="s">
        <v>4093</v>
      </c>
      <c r="H1326" t="s">
        <v>4366</v>
      </c>
      <c r="I1326" t="s">
        <v>4369</v>
      </c>
    </row>
    <row r="1327" spans="1:9">
      <c r="A1327" t="str">
        <f>"0199449 "</f>
        <v xml:space="preserve">0199449 </v>
      </c>
      <c r="B1327" t="s">
        <v>4093</v>
      </c>
      <c r="C1327" t="s">
        <v>4370</v>
      </c>
      <c r="D1327" t="s">
        <v>4371</v>
      </c>
      <c r="E1327">
        <v>1</v>
      </c>
      <c r="F1327" t="s">
        <v>4372</v>
      </c>
      <c r="G1327" t="s">
        <v>4093</v>
      </c>
      <c r="H1327" t="s">
        <v>4370</v>
      </c>
      <c r="I1327" t="s">
        <v>4373</v>
      </c>
    </row>
    <row r="1328" spans="1:9">
      <c r="A1328" t="str">
        <f>"0199453 "</f>
        <v xml:space="preserve">0199453 </v>
      </c>
      <c r="B1328" t="s">
        <v>4093</v>
      </c>
      <c r="C1328" t="s">
        <v>4374</v>
      </c>
      <c r="D1328" t="s">
        <v>4375</v>
      </c>
      <c r="E1328">
        <v>1</v>
      </c>
      <c r="F1328" t="s">
        <v>4376</v>
      </c>
      <c r="G1328" t="s">
        <v>4093</v>
      </c>
      <c r="H1328" t="s">
        <v>4374</v>
      </c>
      <c r="I1328" t="s">
        <v>4377</v>
      </c>
    </row>
    <row r="1329" spans="1:9">
      <c r="A1329" t="str">
        <f>"0199456 "</f>
        <v xml:space="preserve">0199456 </v>
      </c>
      <c r="B1329" t="s">
        <v>4093</v>
      </c>
      <c r="C1329" t="s">
        <v>4378</v>
      </c>
      <c r="D1329" t="s">
        <v>4379</v>
      </c>
      <c r="E1329">
        <v>3</v>
      </c>
      <c r="F1329" t="s">
        <v>3543</v>
      </c>
      <c r="G1329" t="s">
        <v>4093</v>
      </c>
      <c r="H1329" t="s">
        <v>4378</v>
      </c>
      <c r="I1329" t="s">
        <v>4380</v>
      </c>
    </row>
    <row r="1330" spans="1:9">
      <c r="A1330" t="str">
        <f>"0199459 "</f>
        <v xml:space="preserve">0199459 </v>
      </c>
      <c r="B1330" t="s">
        <v>4093</v>
      </c>
      <c r="C1330" t="s">
        <v>4381</v>
      </c>
      <c r="D1330" t="s">
        <v>4382</v>
      </c>
      <c r="E1330">
        <v>1</v>
      </c>
      <c r="F1330" t="s">
        <v>4383</v>
      </c>
      <c r="G1330" t="s">
        <v>4093</v>
      </c>
      <c r="H1330" t="s">
        <v>4381</v>
      </c>
      <c r="I1330" t="s">
        <v>4384</v>
      </c>
    </row>
    <row r="1331" spans="1:9">
      <c r="A1331" t="str">
        <f>"0199461 "</f>
        <v xml:space="preserve">0199461 </v>
      </c>
      <c r="B1331" t="s">
        <v>4093</v>
      </c>
      <c r="C1331" t="s">
        <v>4385</v>
      </c>
      <c r="D1331" t="s">
        <v>4386</v>
      </c>
      <c r="E1331">
        <v>5</v>
      </c>
      <c r="F1331" t="s">
        <v>4387</v>
      </c>
      <c r="G1331" t="s">
        <v>4093</v>
      </c>
      <c r="H1331" t="s">
        <v>4385</v>
      </c>
      <c r="I1331" t="s">
        <v>4388</v>
      </c>
    </row>
    <row r="1332" spans="1:9">
      <c r="A1332" t="str">
        <f>"0199466 "</f>
        <v xml:space="preserve">0199466 </v>
      </c>
      <c r="B1332" t="s">
        <v>4093</v>
      </c>
      <c r="C1332" t="s">
        <v>4389</v>
      </c>
      <c r="D1332" t="s">
        <v>4390</v>
      </c>
      <c r="E1332">
        <v>3</v>
      </c>
      <c r="F1332" t="s">
        <v>4391</v>
      </c>
      <c r="G1332" t="s">
        <v>4093</v>
      </c>
      <c r="H1332" t="s">
        <v>4389</v>
      </c>
      <c r="I1332" t="s">
        <v>3598</v>
      </c>
    </row>
    <row r="1333" spans="1:9">
      <c r="A1333" t="str">
        <f>"0199491 "</f>
        <v xml:space="preserve">0199491 </v>
      </c>
      <c r="B1333" t="s">
        <v>4093</v>
      </c>
      <c r="C1333" t="s">
        <v>4392</v>
      </c>
      <c r="D1333" t="s">
        <v>4393</v>
      </c>
      <c r="E1333">
        <v>1</v>
      </c>
      <c r="F1333" t="s">
        <v>4394</v>
      </c>
      <c r="G1333" t="s">
        <v>4093</v>
      </c>
      <c r="H1333" t="s">
        <v>4392</v>
      </c>
      <c r="I1333" t="s">
        <v>523</v>
      </c>
    </row>
    <row r="1334" spans="1:9">
      <c r="A1334" t="str">
        <f>"0199511 "</f>
        <v xml:space="preserve">0199511 </v>
      </c>
      <c r="B1334" t="s">
        <v>4093</v>
      </c>
      <c r="C1334" t="s">
        <v>4395</v>
      </c>
      <c r="D1334" t="s">
        <v>4396</v>
      </c>
      <c r="E1334" t="s">
        <v>20</v>
      </c>
      <c r="F1334" t="s">
        <v>4397</v>
      </c>
      <c r="G1334" t="s">
        <v>4093</v>
      </c>
      <c r="H1334" t="s">
        <v>4395</v>
      </c>
      <c r="I1334" t="s">
        <v>4398</v>
      </c>
    </row>
    <row r="1335" spans="1:9">
      <c r="A1335" t="str">
        <f>"0199512 "</f>
        <v xml:space="preserve">0199512 </v>
      </c>
      <c r="B1335" t="s">
        <v>4093</v>
      </c>
      <c r="C1335" t="s">
        <v>4399</v>
      </c>
      <c r="D1335" t="s">
        <v>4400</v>
      </c>
      <c r="E1335">
        <v>1</v>
      </c>
      <c r="F1335" t="s">
        <v>4401</v>
      </c>
      <c r="G1335" t="s">
        <v>4093</v>
      </c>
      <c r="H1335" t="s">
        <v>4399</v>
      </c>
      <c r="I1335" t="s">
        <v>2859</v>
      </c>
    </row>
    <row r="1336" spans="1:9">
      <c r="A1336" t="str">
        <f>"0199517 "</f>
        <v xml:space="preserve">0199517 </v>
      </c>
      <c r="B1336" t="s">
        <v>4093</v>
      </c>
      <c r="C1336" t="s">
        <v>4402</v>
      </c>
      <c r="D1336" t="s">
        <v>4403</v>
      </c>
      <c r="E1336">
        <v>2</v>
      </c>
      <c r="F1336" t="s">
        <v>2047</v>
      </c>
      <c r="G1336" t="s">
        <v>4093</v>
      </c>
      <c r="H1336" t="s">
        <v>4402</v>
      </c>
      <c r="I1336" t="s">
        <v>4404</v>
      </c>
    </row>
    <row r="1337" spans="1:9">
      <c r="A1337" t="str">
        <f>"0199526 "</f>
        <v xml:space="preserve">0199526 </v>
      </c>
      <c r="B1337" t="s">
        <v>4093</v>
      </c>
      <c r="C1337" t="s">
        <v>4405</v>
      </c>
      <c r="D1337" t="s">
        <v>4406</v>
      </c>
      <c r="E1337">
        <v>1</v>
      </c>
      <c r="F1337" t="s">
        <v>4407</v>
      </c>
      <c r="G1337" t="s">
        <v>4093</v>
      </c>
      <c r="H1337" t="s">
        <v>4405</v>
      </c>
      <c r="I1337" t="s">
        <v>4408</v>
      </c>
    </row>
    <row r="1338" spans="1:9">
      <c r="A1338" t="str">
        <f>"0199527 "</f>
        <v xml:space="preserve">0199527 </v>
      </c>
      <c r="B1338" t="s">
        <v>4093</v>
      </c>
      <c r="C1338" t="s">
        <v>4409</v>
      </c>
      <c r="D1338" t="s">
        <v>4410</v>
      </c>
      <c r="E1338">
        <v>1</v>
      </c>
      <c r="F1338" t="s">
        <v>4368</v>
      </c>
      <c r="G1338" t="s">
        <v>4093</v>
      </c>
      <c r="H1338" t="s">
        <v>4409</v>
      </c>
      <c r="I1338" t="s">
        <v>4411</v>
      </c>
    </row>
    <row r="1339" spans="1:9">
      <c r="A1339" t="str">
        <f>"0199528 "</f>
        <v xml:space="preserve">0199528 </v>
      </c>
      <c r="B1339" t="s">
        <v>4093</v>
      </c>
      <c r="C1339" t="s">
        <v>4412</v>
      </c>
      <c r="D1339" t="s">
        <v>4413</v>
      </c>
      <c r="E1339">
        <v>1</v>
      </c>
      <c r="F1339" t="s">
        <v>4200</v>
      </c>
      <c r="G1339" t="s">
        <v>4093</v>
      </c>
      <c r="H1339" t="s">
        <v>4412</v>
      </c>
      <c r="I1339" t="s">
        <v>4414</v>
      </c>
    </row>
    <row r="1340" spans="1:9">
      <c r="A1340" t="str">
        <f>"0199537 "</f>
        <v xml:space="preserve">0199537 </v>
      </c>
      <c r="B1340" t="s">
        <v>4093</v>
      </c>
      <c r="C1340" t="s">
        <v>4415</v>
      </c>
      <c r="D1340" t="s">
        <v>4416</v>
      </c>
      <c r="E1340">
        <v>1</v>
      </c>
      <c r="F1340" t="s">
        <v>4417</v>
      </c>
      <c r="G1340" t="s">
        <v>4093</v>
      </c>
      <c r="H1340" t="s">
        <v>4415</v>
      </c>
      <c r="I1340" t="s">
        <v>2879</v>
      </c>
    </row>
    <row r="1341" spans="1:9">
      <c r="A1341" t="str">
        <f>"0199545 "</f>
        <v xml:space="preserve">0199545 </v>
      </c>
      <c r="B1341" t="s">
        <v>4093</v>
      </c>
      <c r="C1341" t="s">
        <v>4418</v>
      </c>
      <c r="D1341" t="s">
        <v>4419</v>
      </c>
      <c r="E1341">
        <v>1</v>
      </c>
      <c r="F1341" t="s">
        <v>3979</v>
      </c>
      <c r="G1341" t="s">
        <v>4093</v>
      </c>
      <c r="H1341" t="s">
        <v>4418</v>
      </c>
      <c r="I1341" t="s">
        <v>3654</v>
      </c>
    </row>
    <row r="1342" spans="1:9">
      <c r="A1342" t="str">
        <f>"0199585 "</f>
        <v xml:space="preserve">0199585 </v>
      </c>
      <c r="B1342" t="s">
        <v>4093</v>
      </c>
      <c r="C1342" t="s">
        <v>4420</v>
      </c>
      <c r="D1342" t="s">
        <v>4421</v>
      </c>
      <c r="E1342">
        <v>2</v>
      </c>
      <c r="F1342" t="s">
        <v>4422</v>
      </c>
      <c r="G1342" t="s">
        <v>4093</v>
      </c>
      <c r="H1342" t="s">
        <v>4420</v>
      </c>
      <c r="I1342" t="s">
        <v>4423</v>
      </c>
    </row>
    <row r="1343" spans="1:9">
      <c r="A1343" t="str">
        <f>"0199588 "</f>
        <v xml:space="preserve">0199588 </v>
      </c>
      <c r="B1343" t="s">
        <v>4093</v>
      </c>
      <c r="C1343" t="s">
        <v>4424</v>
      </c>
      <c r="D1343" t="s">
        <v>4425</v>
      </c>
      <c r="E1343">
        <v>1</v>
      </c>
      <c r="F1343" t="s">
        <v>4426</v>
      </c>
      <c r="G1343" t="s">
        <v>4093</v>
      </c>
      <c r="H1343" t="s">
        <v>4424</v>
      </c>
      <c r="I1343" t="s">
        <v>4427</v>
      </c>
    </row>
    <row r="1344" spans="1:9">
      <c r="A1344" t="str">
        <f>"0199589 "</f>
        <v xml:space="preserve">0199589 </v>
      </c>
      <c r="B1344" t="s">
        <v>4093</v>
      </c>
      <c r="C1344" t="s">
        <v>4428</v>
      </c>
      <c r="D1344" t="s">
        <v>4429</v>
      </c>
      <c r="E1344">
        <v>1</v>
      </c>
      <c r="F1344" t="s">
        <v>4430</v>
      </c>
      <c r="G1344" t="s">
        <v>4093</v>
      </c>
      <c r="H1344" t="s">
        <v>4428</v>
      </c>
      <c r="I1344" t="s">
        <v>4431</v>
      </c>
    </row>
    <row r="1345" spans="1:9">
      <c r="A1345" t="str">
        <f>"0199604 "</f>
        <v xml:space="preserve">0199604 </v>
      </c>
      <c r="B1345" t="s">
        <v>4093</v>
      </c>
      <c r="C1345" t="s">
        <v>4432</v>
      </c>
      <c r="D1345" t="s">
        <v>4433</v>
      </c>
      <c r="E1345">
        <v>1</v>
      </c>
      <c r="F1345" t="s">
        <v>4434</v>
      </c>
      <c r="G1345" t="s">
        <v>4093</v>
      </c>
      <c r="H1345" t="s">
        <v>4432</v>
      </c>
      <c r="I1345" t="s">
        <v>4435</v>
      </c>
    </row>
    <row r="1346" spans="1:9">
      <c r="A1346" t="str">
        <f>"0204433 "</f>
        <v xml:space="preserve">0204433 </v>
      </c>
      <c r="B1346" t="s">
        <v>4093</v>
      </c>
      <c r="C1346" t="s">
        <v>4436</v>
      </c>
      <c r="D1346" t="s">
        <v>4437</v>
      </c>
      <c r="E1346">
        <v>1</v>
      </c>
      <c r="F1346" t="s">
        <v>4438</v>
      </c>
      <c r="G1346" t="s">
        <v>4093</v>
      </c>
      <c r="H1346" t="s">
        <v>4436</v>
      </c>
      <c r="I1346" t="s">
        <v>4439</v>
      </c>
    </row>
    <row r="1347" spans="1:9">
      <c r="A1347" t="str">
        <f>"0199624 "</f>
        <v xml:space="preserve">0199624 </v>
      </c>
      <c r="B1347" t="s">
        <v>4093</v>
      </c>
      <c r="C1347" t="s">
        <v>4440</v>
      </c>
      <c r="D1347" t="s">
        <v>4441</v>
      </c>
      <c r="E1347">
        <v>4</v>
      </c>
      <c r="F1347" t="s">
        <v>4442</v>
      </c>
      <c r="G1347" t="s">
        <v>4093</v>
      </c>
      <c r="H1347" t="s">
        <v>4440</v>
      </c>
      <c r="I1347" t="s">
        <v>206</v>
      </c>
    </row>
    <row r="1348" spans="1:9">
      <c r="A1348" t="str">
        <f>"0199627 "</f>
        <v xml:space="preserve">0199627 </v>
      </c>
      <c r="B1348" t="s">
        <v>4093</v>
      </c>
      <c r="C1348" t="s">
        <v>4443</v>
      </c>
      <c r="D1348" t="s">
        <v>4444</v>
      </c>
      <c r="E1348">
        <v>1</v>
      </c>
      <c r="F1348" t="s">
        <v>4445</v>
      </c>
      <c r="G1348" t="s">
        <v>4093</v>
      </c>
      <c r="H1348" t="s">
        <v>4443</v>
      </c>
      <c r="I1348" t="s">
        <v>4446</v>
      </c>
    </row>
    <row r="1349" spans="1:9">
      <c r="A1349" t="str">
        <f>"0199628 "</f>
        <v xml:space="preserve">0199628 </v>
      </c>
      <c r="B1349" t="s">
        <v>4093</v>
      </c>
      <c r="C1349" t="s">
        <v>4447</v>
      </c>
      <c r="D1349" t="s">
        <v>4448</v>
      </c>
      <c r="E1349">
        <v>1</v>
      </c>
      <c r="F1349" t="s">
        <v>4449</v>
      </c>
      <c r="G1349" t="s">
        <v>4093</v>
      </c>
      <c r="H1349" t="s">
        <v>4447</v>
      </c>
      <c r="I1349" t="s">
        <v>4450</v>
      </c>
    </row>
    <row r="1350" spans="1:9">
      <c r="A1350" t="str">
        <f>"0199631 "</f>
        <v xml:space="preserve">0199631 </v>
      </c>
      <c r="B1350" t="s">
        <v>4093</v>
      </c>
      <c r="C1350" t="s">
        <v>4451</v>
      </c>
      <c r="D1350" t="s">
        <v>4452</v>
      </c>
      <c r="E1350">
        <v>1</v>
      </c>
      <c r="F1350" t="s">
        <v>4453</v>
      </c>
      <c r="G1350" t="s">
        <v>4093</v>
      </c>
      <c r="H1350" t="s">
        <v>4451</v>
      </c>
      <c r="I1350" t="s">
        <v>4454</v>
      </c>
    </row>
    <row r="1351" spans="1:9">
      <c r="A1351" t="str">
        <f>"0199655 "</f>
        <v xml:space="preserve">0199655 </v>
      </c>
      <c r="B1351" t="s">
        <v>4093</v>
      </c>
      <c r="C1351" t="s">
        <v>4455</v>
      </c>
      <c r="D1351" t="s">
        <v>4456</v>
      </c>
      <c r="E1351">
        <v>2</v>
      </c>
      <c r="F1351" t="s">
        <v>4457</v>
      </c>
      <c r="G1351" t="s">
        <v>4093</v>
      </c>
      <c r="H1351" t="s">
        <v>4455</v>
      </c>
      <c r="I1351" t="s">
        <v>4458</v>
      </c>
    </row>
    <row r="1352" spans="1:9">
      <c r="A1352" t="str">
        <f>"0199661 "</f>
        <v xml:space="preserve">0199661 </v>
      </c>
      <c r="B1352" t="s">
        <v>4093</v>
      </c>
      <c r="C1352" t="s">
        <v>4459</v>
      </c>
      <c r="D1352" t="s">
        <v>4460</v>
      </c>
      <c r="E1352">
        <v>1</v>
      </c>
      <c r="F1352" t="s">
        <v>2127</v>
      </c>
      <c r="G1352" t="s">
        <v>4093</v>
      </c>
      <c r="H1352" t="s">
        <v>4459</v>
      </c>
      <c r="I1352" t="s">
        <v>277</v>
      </c>
    </row>
    <row r="1353" spans="1:9">
      <c r="A1353" t="str">
        <f>"0199663 "</f>
        <v xml:space="preserve">0199663 </v>
      </c>
      <c r="B1353" t="s">
        <v>4093</v>
      </c>
      <c r="C1353" t="s">
        <v>4461</v>
      </c>
      <c r="D1353" t="s">
        <v>4462</v>
      </c>
      <c r="E1353">
        <v>2</v>
      </c>
      <c r="F1353" t="s">
        <v>4449</v>
      </c>
      <c r="G1353" t="s">
        <v>4093</v>
      </c>
      <c r="H1353" t="s">
        <v>4461</v>
      </c>
      <c r="I1353" t="s">
        <v>4463</v>
      </c>
    </row>
    <row r="1354" spans="1:9">
      <c r="A1354" t="str">
        <f>"0199669 "</f>
        <v xml:space="preserve">0199669 </v>
      </c>
      <c r="B1354" t="s">
        <v>4093</v>
      </c>
      <c r="C1354" t="s">
        <v>4464</v>
      </c>
      <c r="D1354" t="s">
        <v>4465</v>
      </c>
      <c r="E1354">
        <v>3</v>
      </c>
      <c r="F1354" t="s">
        <v>4466</v>
      </c>
      <c r="G1354" t="s">
        <v>4093</v>
      </c>
      <c r="H1354" t="s">
        <v>4464</v>
      </c>
      <c r="I1354" t="s">
        <v>4467</v>
      </c>
    </row>
    <row r="1355" spans="1:9">
      <c r="A1355" t="str">
        <f>"0199697 "</f>
        <v xml:space="preserve">0199697 </v>
      </c>
      <c r="B1355" t="s">
        <v>4093</v>
      </c>
      <c r="C1355" t="s">
        <v>4468</v>
      </c>
      <c r="D1355" t="s">
        <v>4469</v>
      </c>
      <c r="E1355">
        <v>1</v>
      </c>
      <c r="F1355" t="s">
        <v>4470</v>
      </c>
      <c r="G1355" t="s">
        <v>4093</v>
      </c>
      <c r="H1355" t="s">
        <v>4468</v>
      </c>
      <c r="I1355" t="s">
        <v>4471</v>
      </c>
    </row>
    <row r="1356" spans="1:9">
      <c r="A1356" t="str">
        <f>"0199714 "</f>
        <v xml:space="preserve">0199714 </v>
      </c>
      <c r="B1356" t="s">
        <v>4093</v>
      </c>
      <c r="C1356" t="s">
        <v>4472</v>
      </c>
      <c r="D1356" t="s">
        <v>4473</v>
      </c>
      <c r="E1356">
        <v>1</v>
      </c>
      <c r="F1356" t="s">
        <v>4474</v>
      </c>
      <c r="G1356" t="s">
        <v>4093</v>
      </c>
      <c r="H1356" t="s">
        <v>4472</v>
      </c>
      <c r="I1356" t="s">
        <v>120</v>
      </c>
    </row>
    <row r="1357" spans="1:9">
      <c r="A1357" t="str">
        <f>"0199719 "</f>
        <v xml:space="preserve">0199719 </v>
      </c>
      <c r="B1357" t="s">
        <v>4093</v>
      </c>
      <c r="C1357" t="s">
        <v>4475</v>
      </c>
      <c r="D1357" t="s">
        <v>4476</v>
      </c>
      <c r="E1357">
        <v>1</v>
      </c>
      <c r="F1357" t="s">
        <v>4477</v>
      </c>
      <c r="G1357" t="s">
        <v>4093</v>
      </c>
      <c r="H1357" t="s">
        <v>4475</v>
      </c>
      <c r="I1357" t="s">
        <v>160</v>
      </c>
    </row>
    <row r="1358" spans="1:9">
      <c r="A1358" t="str">
        <f>"0199722 "</f>
        <v xml:space="preserve">0199722 </v>
      </c>
      <c r="B1358" t="s">
        <v>4093</v>
      </c>
      <c r="C1358" t="s">
        <v>4478</v>
      </c>
      <c r="D1358" t="s">
        <v>4479</v>
      </c>
      <c r="E1358">
        <v>1</v>
      </c>
      <c r="F1358" t="s">
        <v>4480</v>
      </c>
      <c r="G1358" t="s">
        <v>4093</v>
      </c>
      <c r="H1358" t="s">
        <v>4478</v>
      </c>
      <c r="I1358" t="s">
        <v>4481</v>
      </c>
    </row>
    <row r="1359" spans="1:9">
      <c r="A1359" t="str">
        <f>"0199748 "</f>
        <v xml:space="preserve">0199748 </v>
      </c>
      <c r="B1359" t="s">
        <v>4093</v>
      </c>
      <c r="C1359" t="s">
        <v>4482</v>
      </c>
      <c r="D1359" t="s">
        <v>4483</v>
      </c>
      <c r="E1359">
        <v>1</v>
      </c>
      <c r="F1359" t="s">
        <v>4484</v>
      </c>
      <c r="G1359" t="s">
        <v>4093</v>
      </c>
      <c r="H1359" t="s">
        <v>4482</v>
      </c>
      <c r="I1359" t="s">
        <v>202</v>
      </c>
    </row>
    <row r="1360" spans="1:9">
      <c r="A1360" t="str">
        <f>"0199756 "</f>
        <v xml:space="preserve">0199756 </v>
      </c>
      <c r="B1360" t="s">
        <v>4093</v>
      </c>
      <c r="C1360" t="s">
        <v>4485</v>
      </c>
      <c r="D1360" t="s">
        <v>4486</v>
      </c>
      <c r="E1360">
        <v>1</v>
      </c>
      <c r="F1360" t="s">
        <v>4487</v>
      </c>
      <c r="G1360" t="s">
        <v>4093</v>
      </c>
      <c r="H1360" t="s">
        <v>4485</v>
      </c>
      <c r="I1360" t="s">
        <v>4488</v>
      </c>
    </row>
    <row r="1361" spans="1:9">
      <c r="A1361" t="str">
        <f>"0199762 "</f>
        <v xml:space="preserve">0199762 </v>
      </c>
      <c r="B1361" t="s">
        <v>4093</v>
      </c>
      <c r="C1361" t="s">
        <v>4489</v>
      </c>
      <c r="D1361" t="s">
        <v>4490</v>
      </c>
      <c r="E1361">
        <v>1</v>
      </c>
      <c r="F1361" t="s">
        <v>4491</v>
      </c>
      <c r="G1361" t="s">
        <v>4093</v>
      </c>
      <c r="H1361" t="s">
        <v>4489</v>
      </c>
      <c r="I1361" t="s">
        <v>4492</v>
      </c>
    </row>
    <row r="1362" spans="1:9">
      <c r="A1362" t="str">
        <f>"0199771 "</f>
        <v xml:space="preserve">0199771 </v>
      </c>
      <c r="B1362" t="s">
        <v>4093</v>
      </c>
      <c r="C1362" t="s">
        <v>4493</v>
      </c>
      <c r="D1362" t="s">
        <v>4494</v>
      </c>
      <c r="E1362">
        <v>4</v>
      </c>
      <c r="F1362" t="s">
        <v>4495</v>
      </c>
      <c r="G1362" t="s">
        <v>4093</v>
      </c>
      <c r="H1362" t="s">
        <v>4493</v>
      </c>
      <c r="I1362" t="s">
        <v>2710</v>
      </c>
    </row>
    <row r="1363" spans="1:9">
      <c r="A1363" t="str">
        <f>"0203199 "</f>
        <v xml:space="preserve">0203199 </v>
      </c>
      <c r="B1363" t="s">
        <v>4093</v>
      </c>
      <c r="C1363" t="s">
        <v>4496</v>
      </c>
      <c r="D1363" t="s">
        <v>4497</v>
      </c>
      <c r="E1363">
        <v>1</v>
      </c>
      <c r="F1363" t="s">
        <v>4498</v>
      </c>
      <c r="G1363" t="s">
        <v>4093</v>
      </c>
      <c r="H1363" t="s">
        <v>4496</v>
      </c>
      <c r="I1363" t="s">
        <v>4499</v>
      </c>
    </row>
    <row r="1364" spans="1:9">
      <c r="A1364" t="str">
        <f>"0199786 "</f>
        <v xml:space="preserve">0199786 </v>
      </c>
      <c r="B1364" t="s">
        <v>4093</v>
      </c>
      <c r="C1364" t="s">
        <v>4500</v>
      </c>
      <c r="D1364" t="s">
        <v>4501</v>
      </c>
      <c r="E1364">
        <v>2</v>
      </c>
      <c r="F1364" t="s">
        <v>4299</v>
      </c>
      <c r="G1364" t="s">
        <v>4093</v>
      </c>
      <c r="H1364" t="s">
        <v>4500</v>
      </c>
      <c r="I1364" t="s">
        <v>4502</v>
      </c>
    </row>
    <row r="1365" spans="1:9">
      <c r="A1365" t="str">
        <f>"0199789 "</f>
        <v xml:space="preserve">0199789 </v>
      </c>
      <c r="B1365" t="s">
        <v>4093</v>
      </c>
      <c r="C1365" t="s">
        <v>4503</v>
      </c>
      <c r="D1365" t="s">
        <v>4504</v>
      </c>
      <c r="E1365">
        <v>2</v>
      </c>
      <c r="F1365" t="s">
        <v>2019</v>
      </c>
      <c r="G1365" t="s">
        <v>4093</v>
      </c>
      <c r="H1365" t="s">
        <v>4503</v>
      </c>
      <c r="I1365" t="s">
        <v>602</v>
      </c>
    </row>
    <row r="1366" spans="1:9">
      <c r="A1366" t="str">
        <f>"0199791 "</f>
        <v xml:space="preserve">0199791 </v>
      </c>
      <c r="B1366" t="s">
        <v>4093</v>
      </c>
      <c r="C1366" t="s">
        <v>4505</v>
      </c>
      <c r="D1366" t="s">
        <v>4506</v>
      </c>
      <c r="E1366">
        <v>1</v>
      </c>
      <c r="F1366" t="s">
        <v>4498</v>
      </c>
      <c r="G1366" t="s">
        <v>4093</v>
      </c>
      <c r="H1366" t="s">
        <v>4505</v>
      </c>
      <c r="I1366" t="s">
        <v>643</v>
      </c>
    </row>
    <row r="1367" spans="1:9">
      <c r="A1367" t="str">
        <f>"0199794 "</f>
        <v xml:space="preserve">0199794 </v>
      </c>
      <c r="B1367" t="s">
        <v>4093</v>
      </c>
      <c r="C1367" t="s">
        <v>4507</v>
      </c>
      <c r="D1367" t="s">
        <v>4508</v>
      </c>
      <c r="E1367">
        <v>1</v>
      </c>
      <c r="F1367" t="s">
        <v>4509</v>
      </c>
      <c r="G1367" t="s">
        <v>4093</v>
      </c>
      <c r="H1367" t="s">
        <v>4507</v>
      </c>
      <c r="I1367" t="s">
        <v>784</v>
      </c>
    </row>
    <row r="1368" spans="1:9">
      <c r="A1368" t="str">
        <f>"0199795 "</f>
        <v xml:space="preserve">0199795 </v>
      </c>
      <c r="B1368" t="s">
        <v>4093</v>
      </c>
      <c r="C1368" t="s">
        <v>4510</v>
      </c>
      <c r="D1368" t="s">
        <v>4511</v>
      </c>
      <c r="E1368">
        <v>1</v>
      </c>
      <c r="F1368" t="s">
        <v>4512</v>
      </c>
      <c r="G1368" t="s">
        <v>4093</v>
      </c>
      <c r="H1368" t="s">
        <v>4510</v>
      </c>
      <c r="I1368" t="s">
        <v>4513</v>
      </c>
    </row>
    <row r="1369" spans="1:9">
      <c r="A1369" t="str">
        <f>"0199796 "</f>
        <v xml:space="preserve">0199796 </v>
      </c>
      <c r="B1369" t="s">
        <v>4093</v>
      </c>
      <c r="C1369" t="s">
        <v>4514</v>
      </c>
      <c r="D1369" t="s">
        <v>4515</v>
      </c>
      <c r="E1369">
        <v>1</v>
      </c>
      <c r="F1369" t="s">
        <v>4516</v>
      </c>
      <c r="G1369" t="s">
        <v>4093</v>
      </c>
      <c r="H1369" t="s">
        <v>4514</v>
      </c>
      <c r="I1369" t="s">
        <v>4517</v>
      </c>
    </row>
    <row r="1370" spans="1:9">
      <c r="A1370" t="str">
        <f>"0199802 "</f>
        <v xml:space="preserve">0199802 </v>
      </c>
      <c r="B1370" t="s">
        <v>4093</v>
      </c>
      <c r="C1370" t="s">
        <v>4518</v>
      </c>
      <c r="D1370" t="s">
        <v>4519</v>
      </c>
      <c r="E1370" t="s">
        <v>20</v>
      </c>
      <c r="F1370" t="s">
        <v>4520</v>
      </c>
      <c r="G1370" t="s">
        <v>4093</v>
      </c>
      <c r="H1370" t="s">
        <v>4518</v>
      </c>
      <c r="I1370" t="s">
        <v>4521</v>
      </c>
    </row>
    <row r="1371" spans="1:9">
      <c r="A1371" t="str">
        <f>"0199807 "</f>
        <v xml:space="preserve">0199807 </v>
      </c>
      <c r="B1371" t="s">
        <v>4093</v>
      </c>
      <c r="C1371" t="s">
        <v>4522</v>
      </c>
      <c r="D1371" t="s">
        <v>4523</v>
      </c>
      <c r="E1371">
        <v>3</v>
      </c>
      <c r="F1371" t="s">
        <v>4140</v>
      </c>
      <c r="G1371" t="s">
        <v>4093</v>
      </c>
      <c r="H1371" t="s">
        <v>4522</v>
      </c>
      <c r="I1371" t="s">
        <v>649</v>
      </c>
    </row>
    <row r="1372" spans="1:9">
      <c r="A1372" t="str">
        <f>"0199808 "</f>
        <v xml:space="preserve">0199808 </v>
      </c>
      <c r="B1372" t="s">
        <v>4093</v>
      </c>
      <c r="C1372" t="s">
        <v>4524</v>
      </c>
      <c r="D1372" t="s">
        <v>4525</v>
      </c>
      <c r="E1372">
        <v>1</v>
      </c>
      <c r="F1372" t="s">
        <v>4526</v>
      </c>
      <c r="G1372" t="s">
        <v>4093</v>
      </c>
      <c r="H1372" t="s">
        <v>4524</v>
      </c>
      <c r="I1372" t="s">
        <v>4527</v>
      </c>
    </row>
    <row r="1373" spans="1:9">
      <c r="A1373" t="str">
        <f>"0199810 "</f>
        <v xml:space="preserve">0199810 </v>
      </c>
      <c r="B1373" t="s">
        <v>4093</v>
      </c>
      <c r="C1373" t="s">
        <v>4528</v>
      </c>
      <c r="D1373" t="s">
        <v>4529</v>
      </c>
      <c r="E1373">
        <v>3</v>
      </c>
      <c r="F1373" t="s">
        <v>4530</v>
      </c>
      <c r="G1373" t="s">
        <v>4093</v>
      </c>
      <c r="H1373" t="s">
        <v>4528</v>
      </c>
      <c r="I1373" t="s">
        <v>660</v>
      </c>
    </row>
    <row r="1374" spans="1:9">
      <c r="A1374" t="str">
        <f>"0199812 "</f>
        <v xml:space="preserve">0199812 </v>
      </c>
      <c r="B1374" t="s">
        <v>4093</v>
      </c>
      <c r="C1374" t="s">
        <v>4531</v>
      </c>
      <c r="D1374" t="s">
        <v>4532</v>
      </c>
      <c r="E1374">
        <v>1</v>
      </c>
      <c r="F1374" t="s">
        <v>4533</v>
      </c>
      <c r="G1374" t="s">
        <v>4093</v>
      </c>
      <c r="H1374" t="s">
        <v>4531</v>
      </c>
      <c r="I1374" t="s">
        <v>4534</v>
      </c>
    </row>
    <row r="1375" spans="1:9">
      <c r="A1375" t="str">
        <f>"0199814 "</f>
        <v xml:space="preserve">0199814 </v>
      </c>
      <c r="B1375" t="s">
        <v>4093</v>
      </c>
      <c r="C1375" t="s">
        <v>4535</v>
      </c>
      <c r="D1375" t="s">
        <v>4536</v>
      </c>
      <c r="E1375">
        <v>3</v>
      </c>
      <c r="F1375" t="s">
        <v>4537</v>
      </c>
      <c r="G1375" t="s">
        <v>4093</v>
      </c>
      <c r="H1375" t="s">
        <v>4535</v>
      </c>
      <c r="I1375" t="s">
        <v>4538</v>
      </c>
    </row>
    <row r="1376" spans="1:9">
      <c r="A1376" t="str">
        <f>"0199817 "</f>
        <v xml:space="preserve">0199817 </v>
      </c>
      <c r="B1376" t="s">
        <v>4093</v>
      </c>
      <c r="C1376" t="s">
        <v>4539</v>
      </c>
      <c r="D1376" t="s">
        <v>4540</v>
      </c>
      <c r="E1376">
        <v>1</v>
      </c>
      <c r="F1376" t="s">
        <v>3543</v>
      </c>
      <c r="G1376" t="s">
        <v>4093</v>
      </c>
      <c r="H1376" t="s">
        <v>4539</v>
      </c>
      <c r="I1376" t="s">
        <v>744</v>
      </c>
    </row>
    <row r="1377" spans="1:9">
      <c r="A1377" t="str">
        <f>"0199818 "</f>
        <v xml:space="preserve">0199818 </v>
      </c>
      <c r="B1377" t="s">
        <v>4093</v>
      </c>
      <c r="C1377" t="s">
        <v>4541</v>
      </c>
      <c r="D1377" t="s">
        <v>4542</v>
      </c>
      <c r="E1377">
        <v>1</v>
      </c>
      <c r="F1377" t="s">
        <v>4543</v>
      </c>
      <c r="G1377" t="s">
        <v>4093</v>
      </c>
      <c r="H1377" t="s">
        <v>4541</v>
      </c>
      <c r="I1377" t="s">
        <v>812</v>
      </c>
    </row>
    <row r="1378" spans="1:9">
      <c r="A1378" t="str">
        <f>"0199820 "</f>
        <v xml:space="preserve">0199820 </v>
      </c>
      <c r="B1378" t="s">
        <v>4093</v>
      </c>
      <c r="C1378" t="s">
        <v>4544</v>
      </c>
      <c r="D1378" t="s">
        <v>4545</v>
      </c>
      <c r="E1378">
        <v>1</v>
      </c>
      <c r="F1378" t="s">
        <v>4546</v>
      </c>
      <c r="G1378" t="s">
        <v>4093</v>
      </c>
      <c r="H1378" t="s">
        <v>4544</v>
      </c>
      <c r="I1378" t="s">
        <v>632</v>
      </c>
    </row>
    <row r="1379" spans="1:9">
      <c r="A1379" t="str">
        <f>"0199821 "</f>
        <v xml:space="preserve">0199821 </v>
      </c>
      <c r="B1379" t="s">
        <v>4093</v>
      </c>
      <c r="C1379" t="s">
        <v>4547</v>
      </c>
      <c r="D1379" t="s">
        <v>4548</v>
      </c>
      <c r="E1379">
        <v>1</v>
      </c>
      <c r="F1379" t="s">
        <v>4549</v>
      </c>
      <c r="G1379" t="s">
        <v>4093</v>
      </c>
      <c r="H1379" t="s">
        <v>4547</v>
      </c>
      <c r="I1379" t="s">
        <v>2663</v>
      </c>
    </row>
    <row r="1380" spans="1:9">
      <c r="A1380" t="str">
        <f>"0199826 "</f>
        <v xml:space="preserve">0199826 </v>
      </c>
      <c r="B1380" t="s">
        <v>4093</v>
      </c>
      <c r="C1380" t="s">
        <v>4550</v>
      </c>
      <c r="D1380" t="s">
        <v>4551</v>
      </c>
      <c r="E1380">
        <v>4</v>
      </c>
      <c r="F1380" t="s">
        <v>4552</v>
      </c>
      <c r="G1380" t="s">
        <v>4093</v>
      </c>
      <c r="H1380" t="s">
        <v>4550</v>
      </c>
      <c r="I1380" t="s">
        <v>4553</v>
      </c>
    </row>
    <row r="1381" spans="1:9">
      <c r="A1381" t="str">
        <f>"0199827 "</f>
        <v xml:space="preserve">0199827 </v>
      </c>
      <c r="B1381" t="s">
        <v>4093</v>
      </c>
      <c r="C1381" t="s">
        <v>4554</v>
      </c>
      <c r="D1381" t="s">
        <v>4555</v>
      </c>
      <c r="E1381">
        <v>4</v>
      </c>
      <c r="F1381" t="s">
        <v>4556</v>
      </c>
      <c r="G1381" t="s">
        <v>4093</v>
      </c>
      <c r="H1381" t="s">
        <v>4554</v>
      </c>
      <c r="I1381" t="s">
        <v>4557</v>
      </c>
    </row>
    <row r="1382" spans="1:9">
      <c r="A1382" t="str">
        <f>"0199829 "</f>
        <v xml:space="preserve">0199829 </v>
      </c>
      <c r="B1382" t="s">
        <v>4093</v>
      </c>
      <c r="C1382" t="s">
        <v>4558</v>
      </c>
      <c r="D1382" t="s">
        <v>4559</v>
      </c>
      <c r="E1382">
        <v>1</v>
      </c>
      <c r="F1382" t="s">
        <v>4526</v>
      </c>
      <c r="G1382" t="s">
        <v>4093</v>
      </c>
      <c r="H1382" t="s">
        <v>4558</v>
      </c>
      <c r="I1382" t="s">
        <v>4560</v>
      </c>
    </row>
    <row r="1383" spans="1:9">
      <c r="A1383" t="str">
        <f>"0199832 "</f>
        <v xml:space="preserve">0199832 </v>
      </c>
      <c r="B1383" t="s">
        <v>4093</v>
      </c>
      <c r="C1383" t="s">
        <v>4561</v>
      </c>
      <c r="D1383" t="s">
        <v>4562</v>
      </c>
      <c r="E1383">
        <v>1</v>
      </c>
      <c r="F1383" t="s">
        <v>4563</v>
      </c>
      <c r="G1383" t="s">
        <v>4093</v>
      </c>
      <c r="H1383" t="s">
        <v>4561</v>
      </c>
      <c r="I1383" t="s">
        <v>4564</v>
      </c>
    </row>
    <row r="1384" spans="1:9">
      <c r="A1384" t="str">
        <f>"0199834 "</f>
        <v xml:space="preserve">0199834 </v>
      </c>
      <c r="B1384" t="s">
        <v>4093</v>
      </c>
      <c r="C1384" t="s">
        <v>4565</v>
      </c>
      <c r="D1384" t="s">
        <v>4566</v>
      </c>
      <c r="E1384">
        <v>2</v>
      </c>
      <c r="F1384" t="s">
        <v>4567</v>
      </c>
      <c r="G1384" t="s">
        <v>4093</v>
      </c>
      <c r="H1384" t="s">
        <v>4565</v>
      </c>
      <c r="I1384" t="s">
        <v>4568</v>
      </c>
    </row>
    <row r="1385" spans="1:9">
      <c r="A1385" t="str">
        <f>"0199842 "</f>
        <v xml:space="preserve">0199842 </v>
      </c>
      <c r="B1385" t="s">
        <v>4093</v>
      </c>
      <c r="C1385" t="s">
        <v>4569</v>
      </c>
      <c r="D1385" t="s">
        <v>4570</v>
      </c>
      <c r="E1385">
        <v>2</v>
      </c>
      <c r="F1385" t="s">
        <v>4571</v>
      </c>
      <c r="G1385" t="s">
        <v>4093</v>
      </c>
      <c r="H1385" t="s">
        <v>4569</v>
      </c>
      <c r="I1385" t="s">
        <v>4572</v>
      </c>
    </row>
    <row r="1386" spans="1:9">
      <c r="A1386" t="str">
        <f>"0199843 "</f>
        <v xml:space="preserve">0199843 </v>
      </c>
      <c r="B1386" t="s">
        <v>4093</v>
      </c>
      <c r="C1386" t="s">
        <v>4573</v>
      </c>
      <c r="D1386" t="s">
        <v>4574</v>
      </c>
      <c r="E1386">
        <v>1</v>
      </c>
      <c r="F1386" t="s">
        <v>4575</v>
      </c>
      <c r="G1386" t="s">
        <v>4093</v>
      </c>
      <c r="H1386" t="s">
        <v>4573</v>
      </c>
      <c r="I1386" t="s">
        <v>564</v>
      </c>
    </row>
    <row r="1387" spans="1:9">
      <c r="A1387" t="str">
        <f>"0199844 "</f>
        <v xml:space="preserve">0199844 </v>
      </c>
      <c r="B1387" t="s">
        <v>4093</v>
      </c>
      <c r="C1387" t="s">
        <v>4576</v>
      </c>
      <c r="D1387" t="s">
        <v>4577</v>
      </c>
      <c r="E1387">
        <v>1</v>
      </c>
      <c r="F1387" t="s">
        <v>1758</v>
      </c>
      <c r="G1387" t="s">
        <v>4093</v>
      </c>
      <c r="H1387" t="s">
        <v>4576</v>
      </c>
      <c r="I1387" t="s">
        <v>687</v>
      </c>
    </row>
    <row r="1388" spans="1:9">
      <c r="A1388" t="str">
        <f>"0199845 "</f>
        <v xml:space="preserve">0199845 </v>
      </c>
      <c r="B1388" t="s">
        <v>4093</v>
      </c>
      <c r="C1388" t="s">
        <v>4578</v>
      </c>
      <c r="D1388" t="s">
        <v>4579</v>
      </c>
      <c r="E1388">
        <v>1</v>
      </c>
      <c r="F1388" t="s">
        <v>4426</v>
      </c>
      <c r="G1388" t="s">
        <v>4093</v>
      </c>
      <c r="H1388" t="s">
        <v>4578</v>
      </c>
      <c r="I1388" t="s">
        <v>4580</v>
      </c>
    </row>
    <row r="1389" spans="1:9">
      <c r="A1389" t="str">
        <f>"0199847 "</f>
        <v xml:space="preserve">0199847 </v>
      </c>
      <c r="B1389" t="s">
        <v>4093</v>
      </c>
      <c r="C1389" t="s">
        <v>4581</v>
      </c>
      <c r="D1389" t="s">
        <v>4582</v>
      </c>
      <c r="E1389">
        <v>1</v>
      </c>
      <c r="F1389" t="s">
        <v>4152</v>
      </c>
      <c r="G1389" t="s">
        <v>4093</v>
      </c>
      <c r="H1389" t="s">
        <v>4581</v>
      </c>
      <c r="I1389" t="s">
        <v>4583</v>
      </c>
    </row>
    <row r="1390" spans="1:9">
      <c r="A1390" t="str">
        <f>"0199851 "</f>
        <v xml:space="preserve">0199851 </v>
      </c>
      <c r="B1390" t="s">
        <v>4093</v>
      </c>
      <c r="C1390" t="s">
        <v>4584</v>
      </c>
      <c r="D1390" t="s">
        <v>4585</v>
      </c>
      <c r="E1390" t="s">
        <v>20</v>
      </c>
      <c r="F1390" t="s">
        <v>4586</v>
      </c>
      <c r="G1390" t="s">
        <v>4093</v>
      </c>
      <c r="H1390" t="s">
        <v>4584</v>
      </c>
      <c r="I1390" t="s">
        <v>2718</v>
      </c>
    </row>
    <row r="1391" spans="1:9">
      <c r="A1391" t="str">
        <f>"0199855 "</f>
        <v xml:space="preserve">0199855 </v>
      </c>
      <c r="B1391" t="s">
        <v>4093</v>
      </c>
      <c r="C1391" t="s">
        <v>4587</v>
      </c>
      <c r="D1391" t="s">
        <v>4588</v>
      </c>
      <c r="E1391">
        <v>1</v>
      </c>
      <c r="F1391" t="s">
        <v>4589</v>
      </c>
      <c r="G1391" t="s">
        <v>4093</v>
      </c>
      <c r="H1391" t="s">
        <v>4587</v>
      </c>
      <c r="I1391" t="s">
        <v>4590</v>
      </c>
    </row>
    <row r="1392" spans="1:9">
      <c r="A1392" t="str">
        <f>"0199857 "</f>
        <v xml:space="preserve">0199857 </v>
      </c>
      <c r="B1392" t="s">
        <v>4093</v>
      </c>
      <c r="C1392" t="s">
        <v>4591</v>
      </c>
      <c r="D1392" t="s">
        <v>4592</v>
      </c>
      <c r="E1392">
        <v>1</v>
      </c>
      <c r="F1392" t="s">
        <v>4328</v>
      </c>
      <c r="G1392" t="s">
        <v>4093</v>
      </c>
      <c r="H1392" t="s">
        <v>4591</v>
      </c>
      <c r="I1392" t="s">
        <v>729</v>
      </c>
    </row>
    <row r="1393" spans="1:9">
      <c r="A1393" t="str">
        <f>"0199869 "</f>
        <v xml:space="preserve">0199869 </v>
      </c>
      <c r="B1393" t="s">
        <v>4093</v>
      </c>
      <c r="C1393" t="s">
        <v>4593</v>
      </c>
      <c r="D1393" t="s">
        <v>4594</v>
      </c>
      <c r="E1393">
        <v>2</v>
      </c>
      <c r="F1393" t="s">
        <v>4595</v>
      </c>
      <c r="G1393" t="s">
        <v>4093</v>
      </c>
      <c r="H1393" t="s">
        <v>4593</v>
      </c>
      <c r="I1393" t="s">
        <v>4596</v>
      </c>
    </row>
    <row r="1394" spans="1:9">
      <c r="A1394" t="str">
        <f>"0199872 "</f>
        <v xml:space="preserve">0199872 </v>
      </c>
      <c r="B1394" t="s">
        <v>4093</v>
      </c>
      <c r="C1394" t="s">
        <v>4597</v>
      </c>
      <c r="D1394" t="s">
        <v>4598</v>
      </c>
      <c r="E1394">
        <v>1</v>
      </c>
      <c r="F1394" t="s">
        <v>4237</v>
      </c>
      <c r="G1394" t="s">
        <v>4093</v>
      </c>
      <c r="H1394" t="s">
        <v>4597</v>
      </c>
      <c r="I1394" t="s">
        <v>4599</v>
      </c>
    </row>
    <row r="1395" spans="1:9">
      <c r="A1395" t="str">
        <f>"0199887 "</f>
        <v xml:space="preserve">0199887 </v>
      </c>
      <c r="B1395" t="s">
        <v>4093</v>
      </c>
      <c r="C1395" t="s">
        <v>4600</v>
      </c>
      <c r="D1395" t="s">
        <v>4601</v>
      </c>
      <c r="E1395">
        <v>4</v>
      </c>
      <c r="F1395" t="s">
        <v>4474</v>
      </c>
      <c r="G1395" t="s">
        <v>4093</v>
      </c>
      <c r="H1395" t="s">
        <v>4600</v>
      </c>
      <c r="I1395" t="s">
        <v>4602</v>
      </c>
    </row>
    <row r="1396" spans="1:9">
      <c r="A1396" t="str">
        <f>"0199902 "</f>
        <v xml:space="preserve">0199902 </v>
      </c>
      <c r="B1396" t="s">
        <v>4093</v>
      </c>
      <c r="C1396" t="s">
        <v>4603</v>
      </c>
      <c r="D1396" t="s">
        <v>4604</v>
      </c>
      <c r="E1396">
        <v>1</v>
      </c>
      <c r="F1396" t="s">
        <v>4605</v>
      </c>
      <c r="G1396" t="s">
        <v>4093</v>
      </c>
      <c r="H1396" t="s">
        <v>4603</v>
      </c>
      <c r="I1396" t="s">
        <v>4606</v>
      </c>
    </row>
    <row r="1397" spans="1:9">
      <c r="A1397" t="str">
        <f>"0199923 "</f>
        <v xml:space="preserve">0199923 </v>
      </c>
      <c r="B1397" t="s">
        <v>4093</v>
      </c>
      <c r="C1397" t="s">
        <v>4607</v>
      </c>
      <c r="D1397" t="s">
        <v>4608</v>
      </c>
      <c r="E1397">
        <v>1</v>
      </c>
      <c r="F1397" t="s">
        <v>4498</v>
      </c>
      <c r="G1397" t="s">
        <v>4093</v>
      </c>
      <c r="H1397" t="s">
        <v>4607</v>
      </c>
      <c r="I1397" t="s">
        <v>792</v>
      </c>
    </row>
    <row r="1398" spans="1:9">
      <c r="A1398" t="str">
        <f>"0199937 "</f>
        <v xml:space="preserve">0199937 </v>
      </c>
      <c r="B1398" t="s">
        <v>4093</v>
      </c>
      <c r="C1398" t="s">
        <v>4609</v>
      </c>
      <c r="D1398" t="s">
        <v>4610</v>
      </c>
      <c r="E1398">
        <v>2</v>
      </c>
      <c r="F1398" t="s">
        <v>2270</v>
      </c>
      <c r="G1398" t="s">
        <v>4093</v>
      </c>
      <c r="H1398" t="s">
        <v>4609</v>
      </c>
      <c r="I1398" t="s">
        <v>4611</v>
      </c>
    </row>
    <row r="1399" spans="1:9">
      <c r="A1399" t="str">
        <f>"0199954 "</f>
        <v xml:space="preserve">0199954 </v>
      </c>
      <c r="B1399" t="s">
        <v>4093</v>
      </c>
      <c r="C1399" t="s">
        <v>4612</v>
      </c>
      <c r="D1399" t="s">
        <v>4613</v>
      </c>
      <c r="E1399">
        <v>1</v>
      </c>
      <c r="F1399" t="s">
        <v>4614</v>
      </c>
      <c r="G1399" t="s">
        <v>4093</v>
      </c>
      <c r="H1399" t="s">
        <v>4612</v>
      </c>
      <c r="I1399" t="s">
        <v>4615</v>
      </c>
    </row>
    <row r="1400" spans="1:9">
      <c r="A1400" t="str">
        <f>"0199982 "</f>
        <v xml:space="preserve">0199982 </v>
      </c>
      <c r="B1400" t="s">
        <v>4093</v>
      </c>
      <c r="C1400" t="s">
        <v>4616</v>
      </c>
      <c r="D1400" t="s">
        <v>4617</v>
      </c>
      <c r="E1400">
        <v>1</v>
      </c>
      <c r="F1400" t="s">
        <v>1949</v>
      </c>
      <c r="G1400" t="s">
        <v>4093</v>
      </c>
      <c r="H1400" t="s">
        <v>4616</v>
      </c>
      <c r="I1400" t="s">
        <v>4618</v>
      </c>
    </row>
    <row r="1401" spans="1:9">
      <c r="A1401" t="str">
        <f>"0199985 "</f>
        <v xml:space="preserve">0199985 </v>
      </c>
      <c r="B1401" t="s">
        <v>4093</v>
      </c>
      <c r="C1401" t="s">
        <v>4619</v>
      </c>
      <c r="D1401" t="s">
        <v>4620</v>
      </c>
      <c r="E1401">
        <v>2</v>
      </c>
      <c r="F1401" t="s">
        <v>4167</v>
      </c>
      <c r="G1401" t="s">
        <v>4093</v>
      </c>
      <c r="H1401" t="s">
        <v>4619</v>
      </c>
      <c r="I1401" t="s">
        <v>812</v>
      </c>
    </row>
    <row r="1402" spans="1:9">
      <c r="A1402" t="str">
        <f>"0199993 "</f>
        <v xml:space="preserve">0199993 </v>
      </c>
      <c r="B1402" t="s">
        <v>4093</v>
      </c>
      <c r="C1402" t="s">
        <v>4621</v>
      </c>
      <c r="D1402" t="s">
        <v>4622</v>
      </c>
      <c r="E1402">
        <v>1</v>
      </c>
      <c r="F1402" t="s">
        <v>4498</v>
      </c>
      <c r="G1402" t="s">
        <v>4093</v>
      </c>
      <c r="H1402" t="s">
        <v>4621</v>
      </c>
      <c r="I1402" t="s">
        <v>4623</v>
      </c>
    </row>
    <row r="1403" spans="1:9">
      <c r="A1403" t="str">
        <f>"0199997 "</f>
        <v xml:space="preserve">0199997 </v>
      </c>
      <c r="B1403" t="s">
        <v>4093</v>
      </c>
      <c r="C1403" t="s">
        <v>4624</v>
      </c>
      <c r="D1403" t="s">
        <v>4625</v>
      </c>
      <c r="E1403">
        <v>1</v>
      </c>
      <c r="F1403" t="s">
        <v>4509</v>
      </c>
      <c r="G1403" t="s">
        <v>4093</v>
      </c>
      <c r="H1403" t="s">
        <v>4624</v>
      </c>
      <c r="I1403" t="s">
        <v>4626</v>
      </c>
    </row>
    <row r="1404" spans="1:9">
      <c r="A1404" t="str">
        <f>"0200000 "</f>
        <v xml:space="preserve">0200000 </v>
      </c>
      <c r="B1404" t="s">
        <v>4093</v>
      </c>
      <c r="C1404" t="s">
        <v>4627</v>
      </c>
      <c r="D1404" t="s">
        <v>4628</v>
      </c>
      <c r="E1404">
        <v>1</v>
      </c>
      <c r="F1404" t="s">
        <v>4629</v>
      </c>
      <c r="G1404" t="s">
        <v>4093</v>
      </c>
      <c r="H1404" t="s">
        <v>4627</v>
      </c>
      <c r="I1404" t="s">
        <v>4630</v>
      </c>
    </row>
    <row r="1405" spans="1:9">
      <c r="A1405" t="str">
        <f>"0200009 "</f>
        <v xml:space="preserve">0200009 </v>
      </c>
      <c r="B1405" t="s">
        <v>4093</v>
      </c>
      <c r="C1405" t="s">
        <v>4631</v>
      </c>
      <c r="D1405" t="s">
        <v>4632</v>
      </c>
      <c r="E1405">
        <v>1</v>
      </c>
      <c r="F1405" t="s">
        <v>4633</v>
      </c>
      <c r="G1405" t="s">
        <v>4093</v>
      </c>
      <c r="H1405" t="s">
        <v>4631</v>
      </c>
      <c r="I1405" t="s">
        <v>4634</v>
      </c>
    </row>
    <row r="1406" spans="1:9">
      <c r="A1406" t="str">
        <f>"0200012 "</f>
        <v xml:space="preserve">0200012 </v>
      </c>
      <c r="B1406" t="s">
        <v>4093</v>
      </c>
      <c r="C1406" t="s">
        <v>4635</v>
      </c>
      <c r="D1406" t="s">
        <v>4636</v>
      </c>
      <c r="E1406">
        <v>1</v>
      </c>
      <c r="F1406" t="s">
        <v>4637</v>
      </c>
      <c r="G1406" t="s">
        <v>4093</v>
      </c>
      <c r="H1406" t="s">
        <v>4635</v>
      </c>
      <c r="I1406" t="s">
        <v>4638</v>
      </c>
    </row>
    <row r="1407" spans="1:9">
      <c r="A1407" t="str">
        <f>"0200021 "</f>
        <v xml:space="preserve">0200021 </v>
      </c>
      <c r="B1407" t="s">
        <v>4093</v>
      </c>
      <c r="C1407" t="s">
        <v>4639</v>
      </c>
      <c r="D1407" t="s">
        <v>4640</v>
      </c>
      <c r="E1407">
        <v>1</v>
      </c>
      <c r="F1407" t="s">
        <v>4641</v>
      </c>
      <c r="G1407" t="s">
        <v>4093</v>
      </c>
      <c r="H1407" t="s">
        <v>4639</v>
      </c>
      <c r="I1407" t="s">
        <v>4642</v>
      </c>
    </row>
    <row r="1408" spans="1:9">
      <c r="A1408" t="str">
        <f>"0200027 "</f>
        <v xml:space="preserve">0200027 </v>
      </c>
      <c r="B1408" t="s">
        <v>4093</v>
      </c>
      <c r="C1408" t="s">
        <v>4643</v>
      </c>
      <c r="D1408" t="s">
        <v>4644</v>
      </c>
      <c r="E1408">
        <v>2</v>
      </c>
      <c r="F1408" t="s">
        <v>4645</v>
      </c>
      <c r="G1408" t="s">
        <v>4093</v>
      </c>
      <c r="H1408" t="s">
        <v>4643</v>
      </c>
      <c r="I1408" t="s">
        <v>736</v>
      </c>
    </row>
    <row r="1409" spans="1:9">
      <c r="A1409" t="str">
        <f>"0200033 "</f>
        <v xml:space="preserve">0200033 </v>
      </c>
      <c r="B1409" t="s">
        <v>4093</v>
      </c>
      <c r="C1409" t="s">
        <v>4646</v>
      </c>
      <c r="D1409" t="s">
        <v>4647</v>
      </c>
      <c r="E1409">
        <v>1</v>
      </c>
      <c r="F1409" t="s">
        <v>4648</v>
      </c>
      <c r="G1409" t="s">
        <v>4093</v>
      </c>
      <c r="H1409" t="s">
        <v>4646</v>
      </c>
      <c r="I1409" t="s">
        <v>4649</v>
      </c>
    </row>
    <row r="1410" spans="1:9">
      <c r="A1410" t="str">
        <f>"0200048 "</f>
        <v xml:space="preserve">0200048 </v>
      </c>
      <c r="B1410" t="s">
        <v>4093</v>
      </c>
      <c r="C1410" t="s">
        <v>4650</v>
      </c>
      <c r="D1410" t="s">
        <v>4651</v>
      </c>
      <c r="E1410">
        <v>1</v>
      </c>
      <c r="F1410" t="s">
        <v>4652</v>
      </c>
      <c r="G1410" t="s">
        <v>4093</v>
      </c>
      <c r="H1410" t="s">
        <v>4650</v>
      </c>
      <c r="I1410" t="s">
        <v>4653</v>
      </c>
    </row>
    <row r="1411" spans="1:9">
      <c r="A1411" t="str">
        <f>"0200061 "</f>
        <v xml:space="preserve">0200061 </v>
      </c>
      <c r="B1411" t="s">
        <v>4093</v>
      </c>
      <c r="C1411" t="s">
        <v>4654</v>
      </c>
      <c r="D1411" t="s">
        <v>4655</v>
      </c>
      <c r="E1411">
        <v>1</v>
      </c>
      <c r="F1411" t="s">
        <v>4656</v>
      </c>
      <c r="G1411" t="s">
        <v>4093</v>
      </c>
      <c r="H1411" t="s">
        <v>4654</v>
      </c>
      <c r="I1411" t="s">
        <v>850</v>
      </c>
    </row>
    <row r="1412" spans="1:9">
      <c r="A1412" t="str">
        <f>"0200062 "</f>
        <v xml:space="preserve">0200062 </v>
      </c>
      <c r="B1412" t="s">
        <v>4093</v>
      </c>
      <c r="C1412" t="s">
        <v>4657</v>
      </c>
      <c r="D1412" t="s">
        <v>4658</v>
      </c>
      <c r="E1412">
        <v>3</v>
      </c>
      <c r="F1412" t="s">
        <v>4474</v>
      </c>
      <c r="G1412" t="s">
        <v>4093</v>
      </c>
      <c r="H1412" t="s">
        <v>4657</v>
      </c>
      <c r="I1412" t="s">
        <v>905</v>
      </c>
    </row>
    <row r="1413" spans="1:9">
      <c r="A1413" t="str">
        <f>"0200063 "</f>
        <v xml:space="preserve">0200063 </v>
      </c>
      <c r="B1413" t="s">
        <v>4093</v>
      </c>
      <c r="C1413" t="s">
        <v>4659</v>
      </c>
      <c r="D1413" t="s">
        <v>4660</v>
      </c>
      <c r="E1413" t="s">
        <v>20</v>
      </c>
      <c r="F1413" t="s">
        <v>4457</v>
      </c>
      <c r="G1413" t="s">
        <v>4093</v>
      </c>
      <c r="H1413" t="s">
        <v>4659</v>
      </c>
      <c r="I1413" t="s">
        <v>897</v>
      </c>
    </row>
    <row r="1414" spans="1:9">
      <c r="A1414" t="str">
        <f>"0200066 "</f>
        <v xml:space="preserve">0200066 </v>
      </c>
      <c r="B1414" t="s">
        <v>4093</v>
      </c>
      <c r="C1414" t="s">
        <v>4661</v>
      </c>
      <c r="D1414" t="s">
        <v>4662</v>
      </c>
      <c r="E1414">
        <v>2</v>
      </c>
      <c r="F1414" t="s">
        <v>4457</v>
      </c>
      <c r="G1414" t="s">
        <v>4093</v>
      </c>
      <c r="H1414" t="s">
        <v>4661</v>
      </c>
      <c r="I1414" t="s">
        <v>4663</v>
      </c>
    </row>
    <row r="1415" spans="1:9">
      <c r="A1415" t="str">
        <f>"0200067 "</f>
        <v xml:space="preserve">0200067 </v>
      </c>
      <c r="B1415" t="s">
        <v>4093</v>
      </c>
      <c r="C1415" t="s">
        <v>4664</v>
      </c>
      <c r="D1415" t="s">
        <v>4665</v>
      </c>
      <c r="E1415">
        <v>2</v>
      </c>
      <c r="F1415" t="s">
        <v>1694</v>
      </c>
      <c r="G1415" t="s">
        <v>4093</v>
      </c>
      <c r="H1415" t="s">
        <v>4664</v>
      </c>
      <c r="I1415" t="s">
        <v>901</v>
      </c>
    </row>
    <row r="1416" spans="1:9">
      <c r="A1416" t="str">
        <f>"0200069 "</f>
        <v xml:space="preserve">0200069 </v>
      </c>
      <c r="B1416" t="s">
        <v>4093</v>
      </c>
      <c r="C1416" t="s">
        <v>4666</v>
      </c>
      <c r="D1416" t="s">
        <v>4667</v>
      </c>
      <c r="E1416">
        <v>2</v>
      </c>
      <c r="F1416" t="s">
        <v>4668</v>
      </c>
      <c r="G1416" t="s">
        <v>4093</v>
      </c>
      <c r="H1416" t="s">
        <v>4666</v>
      </c>
      <c r="I1416" t="s">
        <v>4669</v>
      </c>
    </row>
    <row r="1417" spans="1:9">
      <c r="A1417" t="str">
        <f>"0200070 "</f>
        <v xml:space="preserve">0200070 </v>
      </c>
      <c r="B1417" t="s">
        <v>4093</v>
      </c>
      <c r="C1417" t="s">
        <v>4670</v>
      </c>
      <c r="D1417" t="s">
        <v>4671</v>
      </c>
      <c r="E1417">
        <v>1</v>
      </c>
      <c r="F1417" t="s">
        <v>4672</v>
      </c>
      <c r="G1417" t="s">
        <v>4093</v>
      </c>
      <c r="H1417" t="s">
        <v>4670</v>
      </c>
      <c r="I1417" t="s">
        <v>4673</v>
      </c>
    </row>
    <row r="1418" spans="1:9">
      <c r="A1418" t="str">
        <f>"0200071 "</f>
        <v xml:space="preserve">0200071 </v>
      </c>
      <c r="B1418" t="s">
        <v>4093</v>
      </c>
      <c r="C1418" t="s">
        <v>4674</v>
      </c>
      <c r="D1418" t="s">
        <v>4675</v>
      </c>
      <c r="E1418">
        <v>3</v>
      </c>
      <c r="F1418" t="s">
        <v>4676</v>
      </c>
      <c r="G1418" t="s">
        <v>4093</v>
      </c>
      <c r="H1418" t="s">
        <v>4674</v>
      </c>
      <c r="I1418" t="s">
        <v>4677</v>
      </c>
    </row>
    <row r="1419" spans="1:9">
      <c r="A1419" t="str">
        <f>"0200072 "</f>
        <v xml:space="preserve">0200072 </v>
      </c>
      <c r="B1419" t="s">
        <v>4093</v>
      </c>
      <c r="C1419" t="s">
        <v>4678</v>
      </c>
      <c r="D1419" t="s">
        <v>4679</v>
      </c>
      <c r="E1419" t="s">
        <v>20</v>
      </c>
      <c r="F1419" t="s">
        <v>4680</v>
      </c>
      <c r="G1419" t="s">
        <v>4093</v>
      </c>
      <c r="H1419" t="s">
        <v>4678</v>
      </c>
      <c r="I1419" t="s">
        <v>2595</v>
      </c>
    </row>
    <row r="1420" spans="1:9">
      <c r="A1420" t="str">
        <f>"0200073 "</f>
        <v xml:space="preserve">0200073 </v>
      </c>
      <c r="B1420" t="s">
        <v>4093</v>
      </c>
      <c r="C1420" t="s">
        <v>4681</v>
      </c>
      <c r="D1420" t="s">
        <v>4682</v>
      </c>
      <c r="E1420">
        <v>4</v>
      </c>
      <c r="F1420" t="s">
        <v>4683</v>
      </c>
      <c r="G1420" t="s">
        <v>4093</v>
      </c>
      <c r="H1420" t="s">
        <v>4681</v>
      </c>
      <c r="I1420" t="s">
        <v>948</v>
      </c>
    </row>
    <row r="1421" spans="1:9">
      <c r="A1421" t="str">
        <f>"0200074 "</f>
        <v xml:space="preserve">0200074 </v>
      </c>
      <c r="B1421" t="s">
        <v>4093</v>
      </c>
      <c r="C1421" t="s">
        <v>4684</v>
      </c>
      <c r="D1421" t="s">
        <v>4685</v>
      </c>
      <c r="E1421">
        <v>3</v>
      </c>
      <c r="F1421" t="s">
        <v>1929</v>
      </c>
      <c r="G1421" t="s">
        <v>4093</v>
      </c>
      <c r="H1421" t="s">
        <v>4684</v>
      </c>
      <c r="I1421" t="s">
        <v>4686</v>
      </c>
    </row>
    <row r="1422" spans="1:9">
      <c r="A1422" t="str">
        <f>"0200076 "</f>
        <v xml:space="preserve">0200076 </v>
      </c>
      <c r="B1422" t="s">
        <v>4093</v>
      </c>
      <c r="C1422" t="s">
        <v>4687</v>
      </c>
      <c r="D1422" t="s">
        <v>4688</v>
      </c>
      <c r="E1422">
        <v>4</v>
      </c>
      <c r="F1422" t="s">
        <v>4689</v>
      </c>
      <c r="G1422" t="s">
        <v>4093</v>
      </c>
      <c r="H1422" t="s">
        <v>4687</v>
      </c>
      <c r="I1422" t="s">
        <v>4690</v>
      </c>
    </row>
    <row r="1423" spans="1:9">
      <c r="A1423" t="str">
        <f>"0200077 "</f>
        <v xml:space="preserve">0200077 </v>
      </c>
      <c r="B1423" t="s">
        <v>4093</v>
      </c>
      <c r="C1423" t="s">
        <v>4691</v>
      </c>
      <c r="D1423" t="s">
        <v>4692</v>
      </c>
      <c r="E1423" t="s">
        <v>20</v>
      </c>
      <c r="F1423" t="s">
        <v>4641</v>
      </c>
      <c r="G1423" t="s">
        <v>4093</v>
      </c>
      <c r="H1423" t="s">
        <v>4691</v>
      </c>
      <c r="I1423" t="s">
        <v>4693</v>
      </c>
    </row>
    <row r="1424" spans="1:9">
      <c r="A1424" t="str">
        <f>"0200079 "</f>
        <v xml:space="preserve">0200079 </v>
      </c>
      <c r="B1424" t="s">
        <v>4093</v>
      </c>
      <c r="C1424" t="s">
        <v>4694</v>
      </c>
      <c r="D1424" t="s">
        <v>4695</v>
      </c>
      <c r="E1424">
        <v>2</v>
      </c>
      <c r="F1424" t="s">
        <v>4696</v>
      </c>
      <c r="G1424" t="s">
        <v>4093</v>
      </c>
      <c r="H1424" t="s">
        <v>4694</v>
      </c>
      <c r="I1424" t="s">
        <v>4697</v>
      </c>
    </row>
    <row r="1425" spans="1:9">
      <c r="A1425" t="str">
        <f>"0200080 "</f>
        <v xml:space="preserve">0200080 </v>
      </c>
      <c r="B1425" t="s">
        <v>4093</v>
      </c>
      <c r="C1425" t="s">
        <v>4698</v>
      </c>
      <c r="D1425" t="s">
        <v>4699</v>
      </c>
      <c r="E1425" t="s">
        <v>20</v>
      </c>
      <c r="F1425" t="s">
        <v>4700</v>
      </c>
      <c r="G1425" t="s">
        <v>4093</v>
      </c>
      <c r="H1425" t="s">
        <v>4698</v>
      </c>
      <c r="I1425" t="s">
        <v>4701</v>
      </c>
    </row>
    <row r="1426" spans="1:9">
      <c r="A1426" t="str">
        <f>"0200081 "</f>
        <v xml:space="preserve">0200081 </v>
      </c>
      <c r="B1426" t="s">
        <v>4093</v>
      </c>
      <c r="C1426" t="s">
        <v>4702</v>
      </c>
      <c r="D1426" t="s">
        <v>4703</v>
      </c>
      <c r="E1426">
        <v>4</v>
      </c>
      <c r="F1426" t="s">
        <v>4474</v>
      </c>
      <c r="G1426" t="s">
        <v>4093</v>
      </c>
      <c r="H1426" t="s">
        <v>4702</v>
      </c>
      <c r="I1426" t="s">
        <v>4704</v>
      </c>
    </row>
    <row r="1427" spans="1:9">
      <c r="A1427" t="str">
        <f>"0200084 "</f>
        <v xml:space="preserve">0200084 </v>
      </c>
      <c r="B1427" t="s">
        <v>4093</v>
      </c>
      <c r="C1427" t="s">
        <v>4705</v>
      </c>
      <c r="D1427" t="s">
        <v>4706</v>
      </c>
      <c r="E1427">
        <v>1</v>
      </c>
      <c r="F1427" t="s">
        <v>4491</v>
      </c>
      <c r="G1427" t="s">
        <v>4093</v>
      </c>
      <c r="H1427" t="s">
        <v>4705</v>
      </c>
      <c r="I1427" t="s">
        <v>4707</v>
      </c>
    </row>
    <row r="1428" spans="1:9">
      <c r="A1428" t="str">
        <f>"0200085 "</f>
        <v xml:space="preserve">0200085 </v>
      </c>
      <c r="B1428" t="s">
        <v>4093</v>
      </c>
      <c r="C1428" t="s">
        <v>4708</v>
      </c>
      <c r="D1428" t="s">
        <v>4709</v>
      </c>
      <c r="E1428">
        <v>2</v>
      </c>
      <c r="F1428" t="s">
        <v>4710</v>
      </c>
      <c r="G1428" t="s">
        <v>4093</v>
      </c>
      <c r="H1428" t="s">
        <v>4708</v>
      </c>
      <c r="I1428" t="s">
        <v>2607</v>
      </c>
    </row>
    <row r="1429" spans="1:9">
      <c r="A1429" t="str">
        <f>"0200088 "</f>
        <v xml:space="preserve">0200088 </v>
      </c>
      <c r="B1429" t="s">
        <v>4093</v>
      </c>
      <c r="C1429" t="s">
        <v>4711</v>
      </c>
      <c r="D1429" t="s">
        <v>4712</v>
      </c>
      <c r="E1429">
        <v>1</v>
      </c>
      <c r="F1429" t="s">
        <v>4713</v>
      </c>
      <c r="G1429" t="s">
        <v>4093</v>
      </c>
      <c r="H1429" t="s">
        <v>4711</v>
      </c>
      <c r="I1429" t="s">
        <v>4714</v>
      </c>
    </row>
    <row r="1430" spans="1:9">
      <c r="A1430" t="str">
        <f>"0200089 "</f>
        <v xml:space="preserve">0200089 </v>
      </c>
      <c r="B1430" t="s">
        <v>4093</v>
      </c>
      <c r="C1430" t="s">
        <v>4715</v>
      </c>
      <c r="D1430" t="s">
        <v>4716</v>
      </c>
      <c r="E1430">
        <v>1</v>
      </c>
      <c r="F1430" t="s">
        <v>4426</v>
      </c>
      <c r="G1430" t="s">
        <v>4093</v>
      </c>
      <c r="H1430" t="s">
        <v>4715</v>
      </c>
      <c r="I1430" t="s">
        <v>4717</v>
      </c>
    </row>
    <row r="1431" spans="1:9">
      <c r="A1431" t="str">
        <f>"0200092 "</f>
        <v xml:space="preserve">0200092 </v>
      </c>
      <c r="B1431" t="s">
        <v>4093</v>
      </c>
      <c r="C1431" t="s">
        <v>4718</v>
      </c>
      <c r="D1431" t="s">
        <v>4719</v>
      </c>
      <c r="E1431">
        <v>1</v>
      </c>
      <c r="F1431" t="s">
        <v>4720</v>
      </c>
      <c r="G1431" t="s">
        <v>4093</v>
      </c>
      <c r="H1431" t="s">
        <v>4718</v>
      </c>
      <c r="I1431" t="s">
        <v>4721</v>
      </c>
    </row>
    <row r="1432" spans="1:9">
      <c r="A1432" t="str">
        <f>"0200095 "</f>
        <v xml:space="preserve">0200095 </v>
      </c>
      <c r="B1432" t="s">
        <v>4093</v>
      </c>
      <c r="C1432" t="s">
        <v>4722</v>
      </c>
      <c r="D1432" t="s">
        <v>4723</v>
      </c>
      <c r="E1432">
        <v>1</v>
      </c>
      <c r="F1432" t="s">
        <v>4724</v>
      </c>
      <c r="G1432" t="s">
        <v>4093</v>
      </c>
      <c r="H1432" t="s">
        <v>4722</v>
      </c>
      <c r="I1432" t="s">
        <v>4725</v>
      </c>
    </row>
    <row r="1433" spans="1:9">
      <c r="A1433" t="str">
        <f>"0200110 "</f>
        <v xml:space="preserve">0200110 </v>
      </c>
      <c r="B1433" t="s">
        <v>4093</v>
      </c>
      <c r="C1433" t="s">
        <v>4726</v>
      </c>
      <c r="D1433" t="s">
        <v>4727</v>
      </c>
      <c r="E1433">
        <v>1</v>
      </c>
      <c r="F1433" t="s">
        <v>4728</v>
      </c>
      <c r="G1433" t="s">
        <v>4093</v>
      </c>
      <c r="H1433" t="s">
        <v>4726</v>
      </c>
      <c r="I1433" t="s">
        <v>4729</v>
      </c>
    </row>
    <row r="1434" spans="1:9">
      <c r="A1434" t="str">
        <f>"0200114 "</f>
        <v xml:space="preserve">0200114 </v>
      </c>
      <c r="B1434" t="s">
        <v>4093</v>
      </c>
      <c r="C1434" t="s">
        <v>4730</v>
      </c>
      <c r="D1434" t="s">
        <v>4731</v>
      </c>
      <c r="E1434">
        <v>2</v>
      </c>
      <c r="F1434" t="s">
        <v>2111</v>
      </c>
      <c r="G1434" t="s">
        <v>4093</v>
      </c>
      <c r="H1434" t="s">
        <v>4730</v>
      </c>
      <c r="I1434" t="s">
        <v>4732</v>
      </c>
    </row>
    <row r="1435" spans="1:9">
      <c r="A1435" t="str">
        <f>"0200117 "</f>
        <v xml:space="preserve">0200117 </v>
      </c>
      <c r="B1435" t="s">
        <v>4093</v>
      </c>
      <c r="C1435" t="s">
        <v>4733</v>
      </c>
      <c r="D1435" t="s">
        <v>4734</v>
      </c>
      <c r="E1435">
        <v>4</v>
      </c>
      <c r="F1435" t="s">
        <v>4474</v>
      </c>
      <c r="G1435" t="s">
        <v>4093</v>
      </c>
      <c r="H1435" t="s">
        <v>4733</v>
      </c>
      <c r="I1435" t="s">
        <v>4735</v>
      </c>
    </row>
    <row r="1436" spans="1:9">
      <c r="A1436" t="str">
        <f>"0200119 "</f>
        <v xml:space="preserve">0200119 </v>
      </c>
      <c r="B1436" t="s">
        <v>4093</v>
      </c>
      <c r="C1436" t="s">
        <v>4736</v>
      </c>
      <c r="D1436" t="s">
        <v>4737</v>
      </c>
      <c r="E1436" t="s">
        <v>20</v>
      </c>
      <c r="F1436" t="s">
        <v>4738</v>
      </c>
      <c r="G1436" t="s">
        <v>4093</v>
      </c>
      <c r="H1436" t="s">
        <v>4736</v>
      </c>
      <c r="I1436" t="s">
        <v>861</v>
      </c>
    </row>
    <row r="1437" spans="1:9">
      <c r="A1437" t="str">
        <f>"0200121 "</f>
        <v xml:space="preserve">0200121 </v>
      </c>
      <c r="B1437" t="s">
        <v>4093</v>
      </c>
      <c r="C1437" t="s">
        <v>4739</v>
      </c>
      <c r="D1437" t="s">
        <v>4740</v>
      </c>
      <c r="E1437">
        <v>2</v>
      </c>
      <c r="F1437" t="s">
        <v>4115</v>
      </c>
      <c r="G1437" t="s">
        <v>4093</v>
      </c>
      <c r="H1437" t="s">
        <v>4739</v>
      </c>
      <c r="I1437" t="s">
        <v>4741</v>
      </c>
    </row>
    <row r="1438" spans="1:9">
      <c r="A1438" t="str">
        <f>"0200127 "</f>
        <v xml:space="preserve">0200127 </v>
      </c>
      <c r="B1438" t="s">
        <v>4093</v>
      </c>
      <c r="C1438" t="s">
        <v>4742</v>
      </c>
      <c r="D1438" t="s">
        <v>4743</v>
      </c>
      <c r="E1438">
        <v>1</v>
      </c>
      <c r="F1438" t="s">
        <v>4744</v>
      </c>
      <c r="G1438" t="s">
        <v>4093</v>
      </c>
      <c r="H1438" t="s">
        <v>4742</v>
      </c>
      <c r="I1438" t="s">
        <v>4745</v>
      </c>
    </row>
    <row r="1439" spans="1:9">
      <c r="A1439" t="str">
        <f>"0200130 "</f>
        <v xml:space="preserve">0200130 </v>
      </c>
      <c r="B1439" t="s">
        <v>4093</v>
      </c>
      <c r="C1439" t="s">
        <v>4746</v>
      </c>
      <c r="D1439" t="s">
        <v>4747</v>
      </c>
      <c r="E1439">
        <v>1</v>
      </c>
      <c r="F1439" t="s">
        <v>4203</v>
      </c>
      <c r="G1439" t="s">
        <v>4093</v>
      </c>
      <c r="H1439" t="s">
        <v>4746</v>
      </c>
      <c r="I1439" t="s">
        <v>972</v>
      </c>
    </row>
    <row r="1440" spans="1:9">
      <c r="A1440" t="str">
        <f>"0200133 "</f>
        <v xml:space="preserve">0200133 </v>
      </c>
      <c r="B1440" t="s">
        <v>4093</v>
      </c>
      <c r="C1440" t="s">
        <v>4748</v>
      </c>
      <c r="D1440" t="s">
        <v>4749</v>
      </c>
      <c r="E1440" t="s">
        <v>20</v>
      </c>
      <c r="F1440" t="s">
        <v>4629</v>
      </c>
      <c r="G1440" t="s">
        <v>4093</v>
      </c>
      <c r="H1440" t="s">
        <v>4748</v>
      </c>
      <c r="I1440" t="s">
        <v>2459</v>
      </c>
    </row>
    <row r="1441" spans="1:9">
      <c r="A1441" t="str">
        <f>"0200136 "</f>
        <v xml:space="preserve">0200136 </v>
      </c>
      <c r="B1441" t="s">
        <v>4093</v>
      </c>
      <c r="C1441" t="s">
        <v>4750</v>
      </c>
      <c r="D1441" t="s">
        <v>4751</v>
      </c>
      <c r="E1441">
        <v>5</v>
      </c>
      <c r="F1441" t="s">
        <v>4676</v>
      </c>
      <c r="G1441" t="s">
        <v>4093</v>
      </c>
      <c r="H1441" t="s">
        <v>4750</v>
      </c>
      <c r="I1441" t="s">
        <v>4752</v>
      </c>
    </row>
    <row r="1442" spans="1:9">
      <c r="A1442" t="str">
        <f>"0200138 "</f>
        <v xml:space="preserve">0200138 </v>
      </c>
      <c r="B1442" t="s">
        <v>4093</v>
      </c>
      <c r="C1442" t="s">
        <v>4753</v>
      </c>
      <c r="D1442" t="s">
        <v>4754</v>
      </c>
      <c r="E1442" t="s">
        <v>20</v>
      </c>
      <c r="F1442" t="s">
        <v>4755</v>
      </c>
      <c r="G1442" t="s">
        <v>4093</v>
      </c>
      <c r="H1442" t="s">
        <v>4753</v>
      </c>
      <c r="I1442" t="s">
        <v>2516</v>
      </c>
    </row>
    <row r="1443" spans="1:9">
      <c r="A1443" t="str">
        <f>"0200141 "</f>
        <v xml:space="preserve">0200141 </v>
      </c>
      <c r="B1443" t="s">
        <v>4093</v>
      </c>
      <c r="C1443" t="s">
        <v>4756</v>
      </c>
      <c r="D1443" t="s">
        <v>4757</v>
      </c>
      <c r="E1443">
        <v>3</v>
      </c>
      <c r="F1443" t="s">
        <v>4758</v>
      </c>
      <c r="G1443" t="s">
        <v>4093</v>
      </c>
      <c r="H1443" t="s">
        <v>4756</v>
      </c>
      <c r="I1443" t="s">
        <v>2391</v>
      </c>
    </row>
    <row r="1444" spans="1:9">
      <c r="A1444" t="str">
        <f>"0200142 "</f>
        <v xml:space="preserve">0200142 </v>
      </c>
      <c r="B1444" t="s">
        <v>4093</v>
      </c>
      <c r="C1444" t="s">
        <v>4759</v>
      </c>
      <c r="D1444" t="s">
        <v>4760</v>
      </c>
      <c r="E1444">
        <v>1</v>
      </c>
      <c r="F1444" t="s">
        <v>4761</v>
      </c>
      <c r="G1444" t="s">
        <v>4093</v>
      </c>
      <c r="H1444" t="s">
        <v>4759</v>
      </c>
      <c r="I1444" t="s">
        <v>4762</v>
      </c>
    </row>
    <row r="1445" spans="1:9">
      <c r="A1445" t="str">
        <f>"0200146 "</f>
        <v xml:space="preserve">0200146 </v>
      </c>
      <c r="B1445" t="s">
        <v>4093</v>
      </c>
      <c r="C1445" t="s">
        <v>4763</v>
      </c>
      <c r="D1445" t="s">
        <v>4764</v>
      </c>
      <c r="E1445">
        <v>1</v>
      </c>
      <c r="F1445" t="s">
        <v>4765</v>
      </c>
      <c r="G1445" t="s">
        <v>4093</v>
      </c>
      <c r="H1445" t="s">
        <v>4763</v>
      </c>
      <c r="I1445" t="s">
        <v>4766</v>
      </c>
    </row>
    <row r="1446" spans="1:9">
      <c r="A1446" t="str">
        <f>"0200150 "</f>
        <v xml:space="preserve">0200150 </v>
      </c>
      <c r="B1446" t="s">
        <v>4093</v>
      </c>
      <c r="C1446" t="s">
        <v>4767</v>
      </c>
      <c r="D1446" t="s">
        <v>4768</v>
      </c>
      <c r="E1446">
        <v>4</v>
      </c>
      <c r="F1446" t="s">
        <v>4769</v>
      </c>
      <c r="G1446" t="s">
        <v>4093</v>
      </c>
      <c r="H1446" t="s">
        <v>4767</v>
      </c>
      <c r="I1446" t="s">
        <v>2500</v>
      </c>
    </row>
    <row r="1447" spans="1:9">
      <c r="A1447" t="str">
        <f>"0200151 "</f>
        <v xml:space="preserve">0200151 </v>
      </c>
      <c r="B1447" t="s">
        <v>4093</v>
      </c>
      <c r="C1447" t="s">
        <v>4770</v>
      </c>
      <c r="D1447" t="s">
        <v>4771</v>
      </c>
      <c r="E1447">
        <v>4</v>
      </c>
      <c r="F1447" t="s">
        <v>4772</v>
      </c>
      <c r="G1447" t="s">
        <v>4093</v>
      </c>
      <c r="H1447" t="s">
        <v>4770</v>
      </c>
      <c r="I1447" t="s">
        <v>4773</v>
      </c>
    </row>
    <row r="1448" spans="1:9">
      <c r="A1448" t="str">
        <f>"0200155 "</f>
        <v xml:space="preserve">0200155 </v>
      </c>
      <c r="B1448" t="s">
        <v>4093</v>
      </c>
      <c r="C1448" t="s">
        <v>4774</v>
      </c>
      <c r="D1448" t="s">
        <v>4775</v>
      </c>
      <c r="E1448" t="s">
        <v>20</v>
      </c>
      <c r="F1448" t="s">
        <v>4776</v>
      </c>
      <c r="G1448" t="s">
        <v>4093</v>
      </c>
      <c r="H1448" t="s">
        <v>4774</v>
      </c>
      <c r="I1448" t="s">
        <v>4777</v>
      </c>
    </row>
    <row r="1449" spans="1:9">
      <c r="A1449" t="str">
        <f>"0200158 "</f>
        <v xml:space="preserve">0200158 </v>
      </c>
      <c r="B1449" t="s">
        <v>4093</v>
      </c>
      <c r="C1449" t="s">
        <v>4778</v>
      </c>
      <c r="D1449" t="s">
        <v>4779</v>
      </c>
      <c r="E1449">
        <v>1</v>
      </c>
      <c r="F1449" t="s">
        <v>4720</v>
      </c>
      <c r="G1449" t="s">
        <v>4093</v>
      </c>
      <c r="H1449" t="s">
        <v>4778</v>
      </c>
      <c r="I1449" t="s">
        <v>4780</v>
      </c>
    </row>
    <row r="1450" spans="1:9">
      <c r="A1450" t="str">
        <f>"0200160 "</f>
        <v xml:space="preserve">0200160 </v>
      </c>
      <c r="B1450" t="s">
        <v>4093</v>
      </c>
      <c r="C1450" t="s">
        <v>4781</v>
      </c>
      <c r="D1450" t="s">
        <v>4782</v>
      </c>
      <c r="E1450">
        <v>1</v>
      </c>
      <c r="F1450" t="s">
        <v>4783</v>
      </c>
      <c r="G1450" t="s">
        <v>4093</v>
      </c>
      <c r="H1450" t="s">
        <v>4781</v>
      </c>
      <c r="I1450" t="s">
        <v>4784</v>
      </c>
    </row>
    <row r="1451" spans="1:9">
      <c r="A1451" t="str">
        <f>"0200176 "</f>
        <v xml:space="preserve">0200176 </v>
      </c>
      <c r="B1451" t="s">
        <v>4093</v>
      </c>
      <c r="C1451" t="s">
        <v>4785</v>
      </c>
      <c r="D1451" t="s">
        <v>4786</v>
      </c>
      <c r="E1451" t="s">
        <v>20</v>
      </c>
      <c r="F1451" t="s">
        <v>4787</v>
      </c>
      <c r="G1451" t="s">
        <v>4093</v>
      </c>
      <c r="H1451" t="s">
        <v>4785</v>
      </c>
      <c r="I1451" t="s">
        <v>4788</v>
      </c>
    </row>
    <row r="1452" spans="1:9">
      <c r="A1452" t="str">
        <f>"0200178 "</f>
        <v xml:space="preserve">0200178 </v>
      </c>
      <c r="B1452" t="s">
        <v>4093</v>
      </c>
      <c r="C1452" t="s">
        <v>4789</v>
      </c>
      <c r="D1452" t="s">
        <v>4790</v>
      </c>
      <c r="E1452">
        <v>1</v>
      </c>
      <c r="F1452" t="s">
        <v>4791</v>
      </c>
      <c r="G1452" t="s">
        <v>4093</v>
      </c>
      <c r="H1452" t="s">
        <v>4789</v>
      </c>
      <c r="I1452" t="s">
        <v>4792</v>
      </c>
    </row>
    <row r="1453" spans="1:9">
      <c r="A1453" t="str">
        <f>"0200182 "</f>
        <v xml:space="preserve">0200182 </v>
      </c>
      <c r="B1453" t="s">
        <v>4093</v>
      </c>
      <c r="C1453" t="s">
        <v>4793</v>
      </c>
      <c r="D1453" t="s">
        <v>4794</v>
      </c>
      <c r="E1453">
        <v>1</v>
      </c>
      <c r="F1453" t="s">
        <v>4571</v>
      </c>
      <c r="G1453" t="s">
        <v>4093</v>
      </c>
      <c r="H1453" t="s">
        <v>4793</v>
      </c>
      <c r="I1453" t="s">
        <v>4795</v>
      </c>
    </row>
    <row r="1454" spans="1:9">
      <c r="A1454" t="str">
        <f>"0200186 "</f>
        <v xml:space="preserve">0200186 </v>
      </c>
      <c r="B1454" t="s">
        <v>4093</v>
      </c>
      <c r="C1454" t="s">
        <v>4796</v>
      </c>
      <c r="D1454" t="s">
        <v>4797</v>
      </c>
      <c r="E1454">
        <v>1</v>
      </c>
      <c r="F1454" t="s">
        <v>4798</v>
      </c>
      <c r="G1454" t="s">
        <v>4093</v>
      </c>
      <c r="H1454" t="s">
        <v>4796</v>
      </c>
      <c r="I1454" t="s">
        <v>4799</v>
      </c>
    </row>
    <row r="1455" spans="1:9">
      <c r="A1455" t="str">
        <f>"0200187 "</f>
        <v xml:space="preserve">0200187 </v>
      </c>
      <c r="B1455" t="s">
        <v>4093</v>
      </c>
      <c r="C1455" t="s">
        <v>4800</v>
      </c>
      <c r="D1455" t="s">
        <v>4801</v>
      </c>
      <c r="E1455">
        <v>5</v>
      </c>
      <c r="F1455" t="s">
        <v>4802</v>
      </c>
      <c r="G1455" t="s">
        <v>4093</v>
      </c>
      <c r="H1455" t="s">
        <v>4800</v>
      </c>
      <c r="I1455" t="s">
        <v>3509</v>
      </c>
    </row>
    <row r="1456" spans="1:9">
      <c r="A1456" t="str">
        <f>"0200193 "</f>
        <v xml:space="preserve">0200193 </v>
      </c>
      <c r="B1456" t="s">
        <v>4093</v>
      </c>
      <c r="C1456" t="s">
        <v>4803</v>
      </c>
      <c r="D1456" t="s">
        <v>4804</v>
      </c>
      <c r="E1456">
        <v>1</v>
      </c>
      <c r="F1456" t="s">
        <v>4805</v>
      </c>
      <c r="G1456" t="s">
        <v>4093</v>
      </c>
      <c r="H1456" t="s">
        <v>4803</v>
      </c>
      <c r="I1456" t="s">
        <v>4806</v>
      </c>
    </row>
    <row r="1457" spans="1:9">
      <c r="A1457" t="str">
        <f>"0200196 "</f>
        <v xml:space="preserve">0200196 </v>
      </c>
      <c r="B1457" t="s">
        <v>4093</v>
      </c>
      <c r="C1457" t="s">
        <v>4807</v>
      </c>
      <c r="D1457" t="s">
        <v>4808</v>
      </c>
      <c r="E1457">
        <v>2</v>
      </c>
      <c r="F1457" t="s">
        <v>4543</v>
      </c>
      <c r="G1457" t="s">
        <v>4093</v>
      </c>
      <c r="H1457" t="s">
        <v>4807</v>
      </c>
      <c r="I1457" t="s">
        <v>4809</v>
      </c>
    </row>
    <row r="1458" spans="1:9">
      <c r="A1458" t="str">
        <f>"0200201 "</f>
        <v xml:space="preserve">0200201 </v>
      </c>
      <c r="B1458" t="s">
        <v>4093</v>
      </c>
      <c r="C1458" t="s">
        <v>4810</v>
      </c>
      <c r="D1458" t="s">
        <v>4811</v>
      </c>
      <c r="E1458">
        <v>3</v>
      </c>
      <c r="F1458" t="s">
        <v>4812</v>
      </c>
      <c r="G1458" t="s">
        <v>4093</v>
      </c>
      <c r="H1458" t="s">
        <v>4810</v>
      </c>
      <c r="I1458" t="s">
        <v>4813</v>
      </c>
    </row>
    <row r="1459" spans="1:9">
      <c r="A1459" t="str">
        <f>"0200203 "</f>
        <v xml:space="preserve">0200203 </v>
      </c>
      <c r="B1459" t="s">
        <v>4093</v>
      </c>
      <c r="C1459" t="s">
        <v>4814</v>
      </c>
      <c r="D1459" t="s">
        <v>4815</v>
      </c>
      <c r="E1459">
        <v>1</v>
      </c>
      <c r="F1459" t="s">
        <v>4816</v>
      </c>
      <c r="G1459" t="s">
        <v>4093</v>
      </c>
      <c r="H1459" t="s">
        <v>4814</v>
      </c>
      <c r="I1459" t="s">
        <v>4817</v>
      </c>
    </row>
    <row r="1460" spans="1:9">
      <c r="A1460" t="str">
        <f>"0200209 "</f>
        <v xml:space="preserve">0200209 </v>
      </c>
      <c r="B1460" t="s">
        <v>4093</v>
      </c>
      <c r="C1460" t="s">
        <v>4818</v>
      </c>
      <c r="D1460" t="s">
        <v>4819</v>
      </c>
      <c r="E1460">
        <v>1</v>
      </c>
      <c r="F1460" t="s">
        <v>4163</v>
      </c>
      <c r="G1460" t="s">
        <v>4093</v>
      </c>
      <c r="H1460" t="s">
        <v>4818</v>
      </c>
      <c r="I1460" t="s">
        <v>4820</v>
      </c>
    </row>
    <row r="1461" spans="1:9">
      <c r="A1461" t="str">
        <f>"0200216 "</f>
        <v xml:space="preserve">0200216 </v>
      </c>
      <c r="B1461" t="s">
        <v>4093</v>
      </c>
      <c r="C1461" t="s">
        <v>4821</v>
      </c>
      <c r="D1461" t="s">
        <v>4822</v>
      </c>
      <c r="E1461" t="s">
        <v>20</v>
      </c>
      <c r="F1461" t="s">
        <v>4823</v>
      </c>
      <c r="G1461" t="s">
        <v>4093</v>
      </c>
      <c r="H1461" t="s">
        <v>4821</v>
      </c>
      <c r="I1461" t="s">
        <v>4824</v>
      </c>
    </row>
    <row r="1462" spans="1:9">
      <c r="A1462" t="str">
        <f>"0200217 "</f>
        <v xml:space="preserve">0200217 </v>
      </c>
      <c r="B1462" t="s">
        <v>4093</v>
      </c>
      <c r="C1462" t="s">
        <v>4825</v>
      </c>
      <c r="D1462" t="s">
        <v>4826</v>
      </c>
      <c r="E1462">
        <v>1</v>
      </c>
      <c r="F1462" t="s">
        <v>4827</v>
      </c>
      <c r="G1462" t="s">
        <v>4093</v>
      </c>
      <c r="H1462" t="s">
        <v>4825</v>
      </c>
      <c r="I1462" t="s">
        <v>2520</v>
      </c>
    </row>
    <row r="1463" spans="1:9">
      <c r="A1463" t="str">
        <f>"0200230 "</f>
        <v xml:space="preserve">0200230 </v>
      </c>
      <c r="B1463" t="s">
        <v>4093</v>
      </c>
      <c r="C1463" t="s">
        <v>4828</v>
      </c>
      <c r="D1463" t="s">
        <v>4829</v>
      </c>
      <c r="E1463">
        <v>1</v>
      </c>
      <c r="F1463" t="s">
        <v>4830</v>
      </c>
      <c r="G1463" t="s">
        <v>4093</v>
      </c>
      <c r="H1463" t="s">
        <v>4828</v>
      </c>
      <c r="I1463" t="s">
        <v>4831</v>
      </c>
    </row>
    <row r="1464" spans="1:9">
      <c r="A1464" t="str">
        <f>"0200231 "</f>
        <v xml:space="preserve">0200231 </v>
      </c>
      <c r="B1464" t="s">
        <v>4093</v>
      </c>
      <c r="C1464" t="s">
        <v>4832</v>
      </c>
      <c r="D1464" t="s">
        <v>4833</v>
      </c>
      <c r="E1464" t="s">
        <v>20</v>
      </c>
      <c r="F1464" t="s">
        <v>4834</v>
      </c>
      <c r="G1464" t="s">
        <v>4093</v>
      </c>
      <c r="H1464" t="s">
        <v>4832</v>
      </c>
      <c r="I1464" t="s">
        <v>4835</v>
      </c>
    </row>
    <row r="1465" spans="1:9">
      <c r="A1465" t="str">
        <f>"0200237 "</f>
        <v xml:space="preserve">0200237 </v>
      </c>
      <c r="B1465" t="s">
        <v>4093</v>
      </c>
      <c r="C1465" t="s">
        <v>4836</v>
      </c>
      <c r="D1465" t="s">
        <v>4837</v>
      </c>
      <c r="E1465" t="s">
        <v>20</v>
      </c>
      <c r="F1465" t="s">
        <v>4838</v>
      </c>
      <c r="G1465" t="s">
        <v>4093</v>
      </c>
      <c r="H1465" t="s">
        <v>4836</v>
      </c>
      <c r="I1465" t="s">
        <v>4839</v>
      </c>
    </row>
    <row r="1466" spans="1:9">
      <c r="A1466" t="str">
        <f>"0200239 "</f>
        <v xml:space="preserve">0200239 </v>
      </c>
      <c r="B1466" t="s">
        <v>4093</v>
      </c>
      <c r="C1466" t="s">
        <v>4840</v>
      </c>
      <c r="D1466" t="s">
        <v>4841</v>
      </c>
      <c r="E1466">
        <v>1</v>
      </c>
      <c r="F1466" t="s">
        <v>4842</v>
      </c>
      <c r="G1466" t="s">
        <v>4093</v>
      </c>
      <c r="H1466" t="s">
        <v>4840</v>
      </c>
      <c r="I1466" t="s">
        <v>4843</v>
      </c>
    </row>
    <row r="1467" spans="1:9">
      <c r="A1467" t="str">
        <f>"0200244 "</f>
        <v xml:space="preserve">0200244 </v>
      </c>
      <c r="B1467" t="s">
        <v>4093</v>
      </c>
      <c r="C1467" t="s">
        <v>4844</v>
      </c>
      <c r="D1467" t="s">
        <v>4845</v>
      </c>
      <c r="E1467">
        <v>3</v>
      </c>
      <c r="F1467" t="s">
        <v>4846</v>
      </c>
      <c r="G1467" t="s">
        <v>4093</v>
      </c>
      <c r="H1467" t="s">
        <v>4844</v>
      </c>
      <c r="I1467" t="s">
        <v>4847</v>
      </c>
    </row>
    <row r="1468" spans="1:9">
      <c r="A1468" t="str">
        <f>"0200245 "</f>
        <v xml:space="preserve">0200245 </v>
      </c>
      <c r="B1468" t="s">
        <v>4093</v>
      </c>
      <c r="C1468" t="s">
        <v>4848</v>
      </c>
      <c r="D1468" t="s">
        <v>4849</v>
      </c>
      <c r="E1468">
        <v>2</v>
      </c>
      <c r="F1468" t="s">
        <v>4850</v>
      </c>
      <c r="G1468" t="s">
        <v>4093</v>
      </c>
      <c r="H1468" t="s">
        <v>4848</v>
      </c>
      <c r="I1468" t="s">
        <v>2508</v>
      </c>
    </row>
    <row r="1469" spans="1:9">
      <c r="A1469" t="str">
        <f>"0200246 "</f>
        <v xml:space="preserve">0200246 </v>
      </c>
      <c r="B1469" t="s">
        <v>4093</v>
      </c>
      <c r="C1469" t="s">
        <v>4851</v>
      </c>
      <c r="D1469" t="s">
        <v>4852</v>
      </c>
      <c r="E1469">
        <v>1</v>
      </c>
      <c r="F1469" t="s">
        <v>4853</v>
      </c>
      <c r="G1469" t="s">
        <v>4093</v>
      </c>
      <c r="H1469" t="s">
        <v>4851</v>
      </c>
      <c r="I1469" t="s">
        <v>4854</v>
      </c>
    </row>
    <row r="1470" spans="1:9">
      <c r="A1470" t="str">
        <f>"0200250 "</f>
        <v xml:space="preserve">0200250 </v>
      </c>
      <c r="B1470" t="s">
        <v>4093</v>
      </c>
      <c r="C1470" t="s">
        <v>4855</v>
      </c>
      <c r="D1470" t="s">
        <v>4856</v>
      </c>
      <c r="E1470">
        <v>2</v>
      </c>
      <c r="F1470" t="s">
        <v>4857</v>
      </c>
      <c r="G1470" t="s">
        <v>4093</v>
      </c>
      <c r="H1470" t="s">
        <v>4855</v>
      </c>
      <c r="I1470" t="s">
        <v>4858</v>
      </c>
    </row>
    <row r="1471" spans="1:9">
      <c r="A1471" t="str">
        <f>"0200251 "</f>
        <v xml:space="preserve">0200251 </v>
      </c>
      <c r="B1471" t="s">
        <v>4093</v>
      </c>
      <c r="C1471" t="s">
        <v>4859</v>
      </c>
      <c r="D1471" t="s">
        <v>4860</v>
      </c>
      <c r="E1471">
        <v>1</v>
      </c>
      <c r="F1471" t="s">
        <v>4861</v>
      </c>
      <c r="G1471" t="s">
        <v>4093</v>
      </c>
      <c r="H1471" t="s">
        <v>4859</v>
      </c>
      <c r="I1471" t="s">
        <v>4862</v>
      </c>
    </row>
    <row r="1472" spans="1:9">
      <c r="A1472" t="str">
        <f>"0200252 "</f>
        <v xml:space="preserve">0200252 </v>
      </c>
      <c r="B1472" t="s">
        <v>4093</v>
      </c>
      <c r="C1472" t="s">
        <v>4863</v>
      </c>
      <c r="D1472" t="s">
        <v>4864</v>
      </c>
      <c r="E1472">
        <v>1</v>
      </c>
      <c r="F1472" t="s">
        <v>4865</v>
      </c>
      <c r="G1472" t="s">
        <v>4093</v>
      </c>
      <c r="H1472" t="s">
        <v>4863</v>
      </c>
      <c r="I1472" t="s">
        <v>4866</v>
      </c>
    </row>
    <row r="1473" spans="1:9">
      <c r="A1473" t="str">
        <f>"0200254 "</f>
        <v xml:space="preserve">0200254 </v>
      </c>
      <c r="B1473" t="s">
        <v>4093</v>
      </c>
      <c r="C1473" t="s">
        <v>4867</v>
      </c>
      <c r="D1473" t="s">
        <v>4868</v>
      </c>
      <c r="E1473">
        <v>3</v>
      </c>
      <c r="F1473" t="s">
        <v>4869</v>
      </c>
      <c r="G1473" t="s">
        <v>4093</v>
      </c>
      <c r="H1473" t="s">
        <v>4867</v>
      </c>
      <c r="I1473" t="s">
        <v>4870</v>
      </c>
    </row>
    <row r="1474" spans="1:9">
      <c r="A1474" t="str">
        <f>"0200259 "</f>
        <v xml:space="preserve">0200259 </v>
      </c>
      <c r="B1474" t="s">
        <v>4093</v>
      </c>
      <c r="C1474" t="s">
        <v>4871</v>
      </c>
      <c r="D1474" t="s">
        <v>4872</v>
      </c>
      <c r="E1474">
        <v>1</v>
      </c>
      <c r="F1474" t="s">
        <v>4873</v>
      </c>
      <c r="G1474" t="s">
        <v>4093</v>
      </c>
      <c r="H1474" t="s">
        <v>4871</v>
      </c>
      <c r="I1474" t="s">
        <v>4874</v>
      </c>
    </row>
    <row r="1475" spans="1:9">
      <c r="A1475" t="str">
        <f>"0200260 "</f>
        <v xml:space="preserve">0200260 </v>
      </c>
      <c r="B1475" t="s">
        <v>4093</v>
      </c>
      <c r="C1475" t="s">
        <v>4875</v>
      </c>
      <c r="D1475" t="s">
        <v>4876</v>
      </c>
      <c r="E1475">
        <v>1</v>
      </c>
      <c r="F1475" t="s">
        <v>4877</v>
      </c>
      <c r="G1475" t="s">
        <v>4093</v>
      </c>
      <c r="H1475" t="s">
        <v>4875</v>
      </c>
      <c r="I1475" t="s">
        <v>4878</v>
      </c>
    </row>
    <row r="1476" spans="1:9">
      <c r="A1476" t="str">
        <f>"0200265 "</f>
        <v xml:space="preserve">0200265 </v>
      </c>
      <c r="B1476" t="s">
        <v>4093</v>
      </c>
      <c r="C1476" t="s">
        <v>4879</v>
      </c>
      <c r="D1476" t="s">
        <v>4880</v>
      </c>
      <c r="E1476" t="s">
        <v>20</v>
      </c>
      <c r="F1476" t="s">
        <v>2194</v>
      </c>
      <c r="G1476" t="s">
        <v>4093</v>
      </c>
      <c r="H1476" t="s">
        <v>4879</v>
      </c>
      <c r="I1476" t="s">
        <v>4881</v>
      </c>
    </row>
    <row r="1477" spans="1:9">
      <c r="A1477" t="str">
        <f>"0200269 "</f>
        <v xml:space="preserve">0200269 </v>
      </c>
      <c r="B1477" t="s">
        <v>4093</v>
      </c>
      <c r="C1477" t="s">
        <v>4882</v>
      </c>
      <c r="D1477" t="s">
        <v>4883</v>
      </c>
      <c r="E1477">
        <v>5</v>
      </c>
      <c r="F1477" t="s">
        <v>4884</v>
      </c>
      <c r="G1477" t="s">
        <v>4093</v>
      </c>
      <c r="H1477" t="s">
        <v>4882</v>
      </c>
      <c r="I1477" t="s">
        <v>4885</v>
      </c>
    </row>
    <row r="1478" spans="1:9">
      <c r="A1478" t="str">
        <f>"0200274 "</f>
        <v xml:space="preserve">0200274 </v>
      </c>
      <c r="B1478" t="s">
        <v>4093</v>
      </c>
      <c r="C1478" t="s">
        <v>4886</v>
      </c>
      <c r="D1478" t="s">
        <v>4887</v>
      </c>
      <c r="E1478">
        <v>2</v>
      </c>
      <c r="F1478" t="s">
        <v>4888</v>
      </c>
      <c r="G1478" t="s">
        <v>4093</v>
      </c>
      <c r="H1478" t="s">
        <v>4886</v>
      </c>
      <c r="I1478" t="s">
        <v>4889</v>
      </c>
    </row>
    <row r="1479" spans="1:9">
      <c r="A1479" t="str">
        <f>"0200277 "</f>
        <v xml:space="preserve">0200277 </v>
      </c>
      <c r="B1479" t="s">
        <v>4093</v>
      </c>
      <c r="C1479" t="s">
        <v>4890</v>
      </c>
      <c r="D1479" t="s">
        <v>4891</v>
      </c>
      <c r="E1479">
        <v>2</v>
      </c>
      <c r="F1479" t="s">
        <v>4892</v>
      </c>
      <c r="G1479" t="s">
        <v>4093</v>
      </c>
      <c r="H1479" t="s">
        <v>4890</v>
      </c>
      <c r="I1479" t="s">
        <v>4893</v>
      </c>
    </row>
    <row r="1480" spans="1:9">
      <c r="A1480" t="str">
        <f>"0200278 "</f>
        <v xml:space="preserve">0200278 </v>
      </c>
      <c r="B1480" t="s">
        <v>4093</v>
      </c>
      <c r="C1480" t="s">
        <v>4894</v>
      </c>
      <c r="D1480" t="s">
        <v>4895</v>
      </c>
      <c r="E1480">
        <v>3</v>
      </c>
      <c r="F1480" t="s">
        <v>4896</v>
      </c>
      <c r="G1480" t="s">
        <v>4093</v>
      </c>
      <c r="H1480" t="s">
        <v>4894</v>
      </c>
      <c r="I1480" t="s">
        <v>4897</v>
      </c>
    </row>
    <row r="1481" spans="1:9">
      <c r="A1481" t="str">
        <f>"0200279 "</f>
        <v xml:space="preserve">0200279 </v>
      </c>
      <c r="B1481" t="s">
        <v>4093</v>
      </c>
      <c r="C1481" t="s">
        <v>4898</v>
      </c>
      <c r="D1481" t="s">
        <v>4899</v>
      </c>
      <c r="E1481">
        <v>2</v>
      </c>
      <c r="F1481" t="s">
        <v>4900</v>
      </c>
      <c r="G1481" t="s">
        <v>4093</v>
      </c>
      <c r="H1481" t="s">
        <v>4898</v>
      </c>
      <c r="I1481" t="s">
        <v>4901</v>
      </c>
    </row>
    <row r="1482" spans="1:9">
      <c r="A1482" t="str">
        <f>"0200283 "</f>
        <v xml:space="preserve">0200283 </v>
      </c>
      <c r="B1482" t="s">
        <v>4093</v>
      </c>
      <c r="C1482" t="s">
        <v>4902</v>
      </c>
      <c r="D1482" t="s">
        <v>4903</v>
      </c>
      <c r="E1482">
        <v>2</v>
      </c>
      <c r="F1482" t="s">
        <v>4904</v>
      </c>
      <c r="G1482" t="s">
        <v>4093</v>
      </c>
      <c r="H1482" t="s">
        <v>4902</v>
      </c>
      <c r="I1482" t="s">
        <v>4905</v>
      </c>
    </row>
    <row r="1483" spans="1:9">
      <c r="A1483" t="str">
        <f>"0200284 "</f>
        <v xml:space="preserve">0200284 </v>
      </c>
      <c r="B1483" t="s">
        <v>4093</v>
      </c>
      <c r="C1483" t="s">
        <v>4906</v>
      </c>
      <c r="D1483" t="s">
        <v>4907</v>
      </c>
      <c r="E1483">
        <v>2</v>
      </c>
      <c r="F1483" t="s">
        <v>4908</v>
      </c>
      <c r="G1483" t="s">
        <v>4093</v>
      </c>
      <c r="H1483" t="s">
        <v>4906</v>
      </c>
      <c r="I1483" t="s">
        <v>4909</v>
      </c>
    </row>
    <row r="1484" spans="1:9">
      <c r="A1484" t="str">
        <f>"0200310 "</f>
        <v xml:space="preserve">0200310 </v>
      </c>
      <c r="B1484" t="s">
        <v>4093</v>
      </c>
      <c r="C1484" t="s">
        <v>4910</v>
      </c>
      <c r="D1484" t="s">
        <v>4911</v>
      </c>
      <c r="E1484">
        <v>1</v>
      </c>
      <c r="F1484" t="s">
        <v>4912</v>
      </c>
      <c r="G1484" t="s">
        <v>4093</v>
      </c>
      <c r="H1484" t="s">
        <v>4910</v>
      </c>
      <c r="I1484" t="s">
        <v>3432</v>
      </c>
    </row>
    <row r="1485" spans="1:9">
      <c r="A1485" t="str">
        <f>"0200311 "</f>
        <v xml:space="preserve">0200311 </v>
      </c>
      <c r="B1485" t="s">
        <v>4093</v>
      </c>
      <c r="C1485" t="s">
        <v>4913</v>
      </c>
      <c r="D1485" t="s">
        <v>4914</v>
      </c>
      <c r="E1485" t="s">
        <v>20</v>
      </c>
      <c r="F1485" t="s">
        <v>4656</v>
      </c>
      <c r="G1485" t="s">
        <v>4093</v>
      </c>
      <c r="H1485" t="s">
        <v>4913</v>
      </c>
      <c r="I1485" t="s">
        <v>1288</v>
      </c>
    </row>
    <row r="1486" spans="1:9">
      <c r="A1486" t="str">
        <f>"0200312 "</f>
        <v xml:space="preserve">0200312 </v>
      </c>
      <c r="B1486" t="s">
        <v>4093</v>
      </c>
      <c r="C1486" t="s">
        <v>4915</v>
      </c>
      <c r="D1486" t="s">
        <v>4916</v>
      </c>
      <c r="E1486">
        <v>1</v>
      </c>
      <c r="F1486" t="s">
        <v>3228</v>
      </c>
      <c r="G1486" t="s">
        <v>4093</v>
      </c>
      <c r="H1486" t="s">
        <v>4915</v>
      </c>
      <c r="I1486" t="s">
        <v>4917</v>
      </c>
    </row>
    <row r="1487" spans="1:9">
      <c r="A1487" t="str">
        <f>"0200313 "</f>
        <v xml:space="preserve">0200313 </v>
      </c>
      <c r="B1487" t="s">
        <v>4093</v>
      </c>
      <c r="C1487" t="s">
        <v>4918</v>
      </c>
      <c r="D1487" t="s">
        <v>4919</v>
      </c>
      <c r="E1487">
        <v>2</v>
      </c>
      <c r="F1487" t="s">
        <v>4920</v>
      </c>
      <c r="G1487" t="s">
        <v>4093</v>
      </c>
      <c r="H1487" t="s">
        <v>4918</v>
      </c>
      <c r="I1487" t="s">
        <v>1310</v>
      </c>
    </row>
    <row r="1488" spans="1:9">
      <c r="A1488" t="str">
        <f>"0200314 "</f>
        <v xml:space="preserve">0200314 </v>
      </c>
      <c r="B1488" t="s">
        <v>4093</v>
      </c>
      <c r="C1488" t="s">
        <v>4921</v>
      </c>
      <c r="D1488" t="s">
        <v>4922</v>
      </c>
      <c r="E1488" t="s">
        <v>20</v>
      </c>
      <c r="F1488" t="s">
        <v>4923</v>
      </c>
      <c r="G1488" t="s">
        <v>4093</v>
      </c>
      <c r="H1488" t="s">
        <v>4921</v>
      </c>
      <c r="I1488" t="s">
        <v>3316</v>
      </c>
    </row>
    <row r="1489" spans="1:9">
      <c r="A1489" t="str">
        <f>"0200315 "</f>
        <v xml:space="preserve">0200315 </v>
      </c>
      <c r="B1489" t="s">
        <v>4093</v>
      </c>
      <c r="C1489" t="s">
        <v>4924</v>
      </c>
      <c r="D1489" t="s">
        <v>4925</v>
      </c>
      <c r="E1489" t="s">
        <v>20</v>
      </c>
      <c r="F1489" t="s">
        <v>4926</v>
      </c>
      <c r="G1489" t="s">
        <v>4093</v>
      </c>
      <c r="H1489" t="s">
        <v>4924</v>
      </c>
      <c r="I1489" t="s">
        <v>3334</v>
      </c>
    </row>
    <row r="1490" spans="1:9">
      <c r="A1490" t="str">
        <f>"0200317 "</f>
        <v xml:space="preserve">0200317 </v>
      </c>
      <c r="B1490" t="s">
        <v>4093</v>
      </c>
      <c r="C1490" t="s">
        <v>4927</v>
      </c>
      <c r="D1490" t="s">
        <v>4928</v>
      </c>
      <c r="E1490">
        <v>3</v>
      </c>
      <c r="F1490" t="s">
        <v>4929</v>
      </c>
      <c r="G1490" t="s">
        <v>4093</v>
      </c>
      <c r="H1490" t="s">
        <v>4927</v>
      </c>
      <c r="I1490" t="s">
        <v>1229</v>
      </c>
    </row>
    <row r="1491" spans="1:9">
      <c r="A1491" t="str">
        <f>"0200319 "</f>
        <v xml:space="preserve">0200319 </v>
      </c>
      <c r="B1491" t="s">
        <v>4093</v>
      </c>
      <c r="C1491" t="s">
        <v>4930</v>
      </c>
      <c r="D1491" t="s">
        <v>4931</v>
      </c>
      <c r="E1491">
        <v>1</v>
      </c>
      <c r="F1491" t="s">
        <v>4932</v>
      </c>
      <c r="G1491" t="s">
        <v>4093</v>
      </c>
      <c r="H1491" t="s">
        <v>4930</v>
      </c>
      <c r="I1491" t="s">
        <v>1195</v>
      </c>
    </row>
    <row r="1492" spans="1:9">
      <c r="A1492" t="str">
        <f>"0200320 "</f>
        <v xml:space="preserve">0200320 </v>
      </c>
      <c r="B1492" t="s">
        <v>4093</v>
      </c>
      <c r="C1492" t="s">
        <v>4933</v>
      </c>
      <c r="D1492" t="s">
        <v>4934</v>
      </c>
      <c r="E1492">
        <v>4</v>
      </c>
      <c r="F1492" t="s">
        <v>4935</v>
      </c>
      <c r="G1492" t="s">
        <v>4093</v>
      </c>
      <c r="H1492" t="s">
        <v>4933</v>
      </c>
      <c r="I1492" t="s">
        <v>3272</v>
      </c>
    </row>
    <row r="1493" spans="1:9">
      <c r="A1493" t="str">
        <f>"0200321 "</f>
        <v xml:space="preserve">0200321 </v>
      </c>
      <c r="B1493" t="s">
        <v>4093</v>
      </c>
      <c r="C1493" t="s">
        <v>4936</v>
      </c>
      <c r="D1493" t="s">
        <v>4937</v>
      </c>
      <c r="E1493">
        <v>2</v>
      </c>
      <c r="F1493" t="s">
        <v>4152</v>
      </c>
      <c r="G1493" t="s">
        <v>4093</v>
      </c>
      <c r="H1493" t="s">
        <v>4936</v>
      </c>
      <c r="I1493" t="s">
        <v>4938</v>
      </c>
    </row>
    <row r="1494" spans="1:9">
      <c r="A1494" t="str">
        <f>"0200323 "</f>
        <v xml:space="preserve">0200323 </v>
      </c>
      <c r="B1494" t="s">
        <v>4093</v>
      </c>
      <c r="C1494" t="s">
        <v>4939</v>
      </c>
      <c r="D1494" t="s">
        <v>4940</v>
      </c>
      <c r="E1494">
        <v>1</v>
      </c>
      <c r="F1494" t="s">
        <v>4180</v>
      </c>
      <c r="G1494" t="s">
        <v>4093</v>
      </c>
      <c r="H1494" t="s">
        <v>4939</v>
      </c>
      <c r="I1494" t="s">
        <v>1205</v>
      </c>
    </row>
    <row r="1495" spans="1:9">
      <c r="A1495" t="str">
        <f>"0200327 "</f>
        <v xml:space="preserve">0200327 </v>
      </c>
      <c r="B1495" t="s">
        <v>4093</v>
      </c>
      <c r="C1495" t="s">
        <v>4941</v>
      </c>
      <c r="D1495" t="s">
        <v>4942</v>
      </c>
      <c r="E1495">
        <v>2</v>
      </c>
      <c r="F1495" t="s">
        <v>4816</v>
      </c>
      <c r="G1495" t="s">
        <v>4093</v>
      </c>
      <c r="H1495" t="s">
        <v>4941</v>
      </c>
      <c r="I1495" t="s">
        <v>4943</v>
      </c>
    </row>
    <row r="1496" spans="1:9">
      <c r="A1496" t="str">
        <f>"0200328 "</f>
        <v xml:space="preserve">0200328 </v>
      </c>
      <c r="B1496" t="s">
        <v>4093</v>
      </c>
      <c r="C1496" t="s">
        <v>4944</v>
      </c>
      <c r="D1496" t="s">
        <v>4945</v>
      </c>
      <c r="E1496" t="s">
        <v>20</v>
      </c>
      <c r="F1496" t="s">
        <v>4445</v>
      </c>
      <c r="G1496" t="s">
        <v>4093</v>
      </c>
      <c r="H1496" t="s">
        <v>4944</v>
      </c>
      <c r="I1496" t="s">
        <v>3268</v>
      </c>
    </row>
    <row r="1497" spans="1:9">
      <c r="A1497" t="str">
        <f>"0200329 "</f>
        <v xml:space="preserve">0200329 </v>
      </c>
      <c r="B1497" t="s">
        <v>4093</v>
      </c>
      <c r="C1497" t="s">
        <v>4946</v>
      </c>
      <c r="D1497" t="s">
        <v>4947</v>
      </c>
      <c r="E1497">
        <v>1</v>
      </c>
      <c r="F1497" t="s">
        <v>4787</v>
      </c>
      <c r="G1497" t="s">
        <v>4093</v>
      </c>
      <c r="H1497" t="s">
        <v>4946</v>
      </c>
      <c r="I1497" t="s">
        <v>4948</v>
      </c>
    </row>
    <row r="1498" spans="1:9">
      <c r="A1498" t="str">
        <f>"0200330 "</f>
        <v xml:space="preserve">0200330 </v>
      </c>
      <c r="B1498" t="s">
        <v>4093</v>
      </c>
      <c r="C1498" t="s">
        <v>4949</v>
      </c>
      <c r="D1498" t="s">
        <v>4950</v>
      </c>
      <c r="E1498">
        <v>2</v>
      </c>
      <c r="F1498" t="s">
        <v>4951</v>
      </c>
      <c r="G1498" t="s">
        <v>4093</v>
      </c>
      <c r="H1498" t="s">
        <v>4949</v>
      </c>
      <c r="I1498" t="s">
        <v>4952</v>
      </c>
    </row>
    <row r="1499" spans="1:9">
      <c r="A1499" t="str">
        <f>"0200334 "</f>
        <v xml:space="preserve">0200334 </v>
      </c>
      <c r="B1499" t="s">
        <v>4093</v>
      </c>
      <c r="C1499" t="s">
        <v>4953</v>
      </c>
      <c r="D1499" t="s">
        <v>4954</v>
      </c>
      <c r="E1499">
        <v>3</v>
      </c>
      <c r="F1499" t="s">
        <v>4955</v>
      </c>
      <c r="G1499" t="s">
        <v>4093</v>
      </c>
      <c r="H1499" t="s">
        <v>4953</v>
      </c>
      <c r="I1499" t="s">
        <v>1217</v>
      </c>
    </row>
    <row r="1500" spans="1:9">
      <c r="A1500" t="str">
        <f>"0200338 "</f>
        <v xml:space="preserve">0200338 </v>
      </c>
      <c r="B1500" t="s">
        <v>4093</v>
      </c>
      <c r="C1500" t="s">
        <v>4956</v>
      </c>
      <c r="D1500" t="s">
        <v>4957</v>
      </c>
      <c r="E1500">
        <v>1</v>
      </c>
      <c r="F1500" t="s">
        <v>4958</v>
      </c>
      <c r="G1500" t="s">
        <v>4093</v>
      </c>
      <c r="H1500" t="s">
        <v>4956</v>
      </c>
      <c r="I1500" t="s">
        <v>3276</v>
      </c>
    </row>
    <row r="1501" spans="1:9">
      <c r="A1501" t="str">
        <f>"0200340 "</f>
        <v xml:space="preserve">0200340 </v>
      </c>
      <c r="B1501" t="s">
        <v>4093</v>
      </c>
      <c r="C1501" t="s">
        <v>4959</v>
      </c>
      <c r="D1501" t="s">
        <v>4960</v>
      </c>
      <c r="E1501" t="s">
        <v>20</v>
      </c>
      <c r="F1501" t="s">
        <v>4961</v>
      </c>
      <c r="G1501" t="s">
        <v>4093</v>
      </c>
      <c r="H1501" t="s">
        <v>4959</v>
      </c>
      <c r="I1501" t="s">
        <v>4962</v>
      </c>
    </row>
    <row r="1502" spans="1:9">
      <c r="A1502" t="str">
        <f>"0200342 "</f>
        <v xml:space="preserve">0200342 </v>
      </c>
      <c r="B1502" t="s">
        <v>4093</v>
      </c>
      <c r="C1502" t="s">
        <v>4963</v>
      </c>
      <c r="D1502" t="s">
        <v>4964</v>
      </c>
      <c r="E1502">
        <v>3</v>
      </c>
      <c r="F1502" t="s">
        <v>4226</v>
      </c>
      <c r="G1502" t="s">
        <v>4093</v>
      </c>
      <c r="H1502" t="s">
        <v>4963</v>
      </c>
      <c r="I1502" t="s">
        <v>3283</v>
      </c>
    </row>
    <row r="1503" spans="1:9">
      <c r="A1503" t="str">
        <f>"0200345 "</f>
        <v xml:space="preserve">0200345 </v>
      </c>
      <c r="B1503" t="s">
        <v>4093</v>
      </c>
      <c r="C1503" t="s">
        <v>4965</v>
      </c>
      <c r="D1503" t="s">
        <v>4966</v>
      </c>
      <c r="E1503">
        <v>4</v>
      </c>
      <c r="F1503" t="s">
        <v>4967</v>
      </c>
      <c r="G1503" t="s">
        <v>4093</v>
      </c>
      <c r="H1503" t="s">
        <v>4965</v>
      </c>
      <c r="I1503" t="s">
        <v>4968</v>
      </c>
    </row>
    <row r="1504" spans="1:9">
      <c r="A1504" t="str">
        <f>"0200349 "</f>
        <v xml:space="preserve">0200349 </v>
      </c>
      <c r="B1504" t="s">
        <v>4093</v>
      </c>
      <c r="C1504" t="s">
        <v>4969</v>
      </c>
      <c r="D1504" t="s">
        <v>4970</v>
      </c>
      <c r="E1504">
        <v>3</v>
      </c>
      <c r="F1504" t="s">
        <v>4470</v>
      </c>
      <c r="G1504" t="s">
        <v>4093</v>
      </c>
      <c r="H1504" t="s">
        <v>4969</v>
      </c>
      <c r="I1504" t="s">
        <v>3926</v>
      </c>
    </row>
    <row r="1505" spans="1:9">
      <c r="A1505" t="str">
        <f>"0200352 "</f>
        <v xml:space="preserve">0200352 </v>
      </c>
      <c r="B1505" t="s">
        <v>4093</v>
      </c>
      <c r="C1505" t="s">
        <v>4971</v>
      </c>
      <c r="D1505" t="s">
        <v>4972</v>
      </c>
      <c r="E1505">
        <v>1</v>
      </c>
      <c r="F1505" t="s">
        <v>1780</v>
      </c>
      <c r="G1505" t="s">
        <v>4093</v>
      </c>
      <c r="H1505" t="s">
        <v>4971</v>
      </c>
      <c r="I1505" t="s">
        <v>4973</v>
      </c>
    </row>
    <row r="1506" spans="1:9">
      <c r="A1506" t="str">
        <f>"0200353 "</f>
        <v xml:space="preserve">0200353 </v>
      </c>
      <c r="B1506" t="s">
        <v>4093</v>
      </c>
      <c r="C1506" t="s">
        <v>4974</v>
      </c>
      <c r="D1506" t="s">
        <v>4975</v>
      </c>
      <c r="E1506" t="s">
        <v>20</v>
      </c>
      <c r="F1506" t="s">
        <v>4976</v>
      </c>
      <c r="G1506" t="s">
        <v>4093</v>
      </c>
      <c r="H1506" t="s">
        <v>4974</v>
      </c>
      <c r="I1506" t="s">
        <v>4977</v>
      </c>
    </row>
    <row r="1507" spans="1:9">
      <c r="A1507" t="str">
        <f>"0200354 "</f>
        <v xml:space="preserve">0200354 </v>
      </c>
      <c r="B1507" t="s">
        <v>4093</v>
      </c>
      <c r="C1507" t="s">
        <v>4978</v>
      </c>
      <c r="D1507" t="s">
        <v>4979</v>
      </c>
      <c r="E1507">
        <v>2</v>
      </c>
      <c r="F1507" t="s">
        <v>4980</v>
      </c>
      <c r="G1507" t="s">
        <v>4093</v>
      </c>
      <c r="H1507" t="s">
        <v>4978</v>
      </c>
      <c r="I1507" t="s">
        <v>4981</v>
      </c>
    </row>
    <row r="1508" spans="1:9">
      <c r="A1508" t="str">
        <f>"0200355 "</f>
        <v xml:space="preserve">0200355 </v>
      </c>
      <c r="B1508" t="s">
        <v>4093</v>
      </c>
      <c r="C1508" t="s">
        <v>4982</v>
      </c>
      <c r="D1508" t="s">
        <v>4983</v>
      </c>
      <c r="E1508">
        <v>1</v>
      </c>
      <c r="F1508" t="s">
        <v>4321</v>
      </c>
      <c r="G1508" t="s">
        <v>4093</v>
      </c>
      <c r="H1508" t="s">
        <v>4982</v>
      </c>
      <c r="I1508" t="s">
        <v>4984</v>
      </c>
    </row>
    <row r="1509" spans="1:9">
      <c r="A1509" t="str">
        <f>"0200357 "</f>
        <v xml:space="preserve">0200357 </v>
      </c>
      <c r="B1509" t="s">
        <v>4093</v>
      </c>
      <c r="C1509" t="s">
        <v>4985</v>
      </c>
      <c r="D1509" t="s">
        <v>4986</v>
      </c>
      <c r="E1509">
        <v>1</v>
      </c>
      <c r="F1509" t="s">
        <v>4457</v>
      </c>
      <c r="G1509" t="s">
        <v>4093</v>
      </c>
      <c r="H1509" t="s">
        <v>4985</v>
      </c>
      <c r="I1509" t="s">
        <v>4987</v>
      </c>
    </row>
    <row r="1510" spans="1:9">
      <c r="A1510" t="str">
        <f>"0200362 "</f>
        <v xml:space="preserve">0200362 </v>
      </c>
      <c r="B1510" t="s">
        <v>4093</v>
      </c>
      <c r="C1510" t="s">
        <v>4988</v>
      </c>
      <c r="D1510" t="s">
        <v>4989</v>
      </c>
      <c r="E1510">
        <v>1</v>
      </c>
      <c r="F1510" t="s">
        <v>4935</v>
      </c>
      <c r="G1510" t="s">
        <v>4093</v>
      </c>
      <c r="H1510" t="s">
        <v>4988</v>
      </c>
      <c r="I1510" t="s">
        <v>4990</v>
      </c>
    </row>
    <row r="1511" spans="1:9">
      <c r="A1511" t="str">
        <f>"0200363 "</f>
        <v xml:space="preserve">0200363 </v>
      </c>
      <c r="B1511" t="s">
        <v>4093</v>
      </c>
      <c r="C1511" t="s">
        <v>4991</v>
      </c>
      <c r="D1511" t="s">
        <v>4992</v>
      </c>
      <c r="E1511">
        <v>3</v>
      </c>
      <c r="F1511" t="s">
        <v>4259</v>
      </c>
      <c r="G1511" t="s">
        <v>4093</v>
      </c>
      <c r="H1511" t="s">
        <v>4991</v>
      </c>
      <c r="I1511" t="s">
        <v>3413</v>
      </c>
    </row>
    <row r="1512" spans="1:9">
      <c r="A1512" t="str">
        <f>"0200367 "</f>
        <v xml:space="preserve">0200367 </v>
      </c>
      <c r="B1512" t="s">
        <v>4093</v>
      </c>
      <c r="C1512" t="s">
        <v>4993</v>
      </c>
      <c r="D1512" t="s">
        <v>4994</v>
      </c>
      <c r="E1512" t="s">
        <v>20</v>
      </c>
      <c r="F1512" t="s">
        <v>4995</v>
      </c>
      <c r="G1512" t="s">
        <v>4093</v>
      </c>
      <c r="H1512" t="s">
        <v>4993</v>
      </c>
      <c r="I1512" t="s">
        <v>4996</v>
      </c>
    </row>
    <row r="1513" spans="1:9">
      <c r="A1513" t="str">
        <f>"0200373 "</f>
        <v xml:space="preserve">0200373 </v>
      </c>
      <c r="B1513" t="s">
        <v>4093</v>
      </c>
      <c r="C1513" t="s">
        <v>4997</v>
      </c>
      <c r="D1513" t="s">
        <v>4998</v>
      </c>
      <c r="E1513">
        <v>2</v>
      </c>
      <c r="F1513" t="s">
        <v>4787</v>
      </c>
      <c r="G1513" t="s">
        <v>4093</v>
      </c>
      <c r="H1513" t="s">
        <v>4997</v>
      </c>
      <c r="I1513" t="s">
        <v>3340</v>
      </c>
    </row>
    <row r="1514" spans="1:9">
      <c r="A1514" t="str">
        <f>"0200375 "</f>
        <v xml:space="preserve">0200375 </v>
      </c>
      <c r="B1514" t="s">
        <v>4093</v>
      </c>
      <c r="C1514" t="s">
        <v>4999</v>
      </c>
      <c r="D1514" t="s">
        <v>5000</v>
      </c>
      <c r="E1514">
        <v>2</v>
      </c>
      <c r="F1514" t="s">
        <v>5001</v>
      </c>
      <c r="G1514" t="s">
        <v>4093</v>
      </c>
      <c r="H1514" t="s">
        <v>4999</v>
      </c>
      <c r="I1514" t="s">
        <v>5002</v>
      </c>
    </row>
    <row r="1515" spans="1:9">
      <c r="A1515" t="str">
        <f>"0200381 "</f>
        <v xml:space="preserve">0200381 </v>
      </c>
      <c r="B1515" t="s">
        <v>4093</v>
      </c>
      <c r="C1515" t="s">
        <v>5003</v>
      </c>
      <c r="D1515" t="s">
        <v>5004</v>
      </c>
      <c r="E1515">
        <v>2</v>
      </c>
      <c r="F1515" t="s">
        <v>5005</v>
      </c>
      <c r="G1515" t="s">
        <v>4093</v>
      </c>
      <c r="H1515" t="s">
        <v>5003</v>
      </c>
      <c r="I1515" t="s">
        <v>3379</v>
      </c>
    </row>
    <row r="1516" spans="1:9">
      <c r="A1516" t="str">
        <f>"0200383 "</f>
        <v xml:space="preserve">0200383 </v>
      </c>
      <c r="B1516" t="s">
        <v>4093</v>
      </c>
      <c r="C1516" t="s">
        <v>5006</v>
      </c>
      <c r="D1516" t="s">
        <v>5007</v>
      </c>
      <c r="E1516">
        <v>2</v>
      </c>
      <c r="F1516" t="s">
        <v>1933</v>
      </c>
      <c r="G1516" t="s">
        <v>4093</v>
      </c>
      <c r="H1516" t="s">
        <v>5006</v>
      </c>
      <c r="I1516" t="s">
        <v>5008</v>
      </c>
    </row>
    <row r="1517" spans="1:9">
      <c r="A1517" t="str">
        <f>"0200384 "</f>
        <v xml:space="preserve">0200384 </v>
      </c>
      <c r="B1517" t="s">
        <v>4093</v>
      </c>
      <c r="C1517" t="s">
        <v>5009</v>
      </c>
      <c r="D1517" t="s">
        <v>5010</v>
      </c>
      <c r="E1517">
        <v>5</v>
      </c>
      <c r="F1517" t="s">
        <v>5011</v>
      </c>
      <c r="G1517" t="s">
        <v>4093</v>
      </c>
      <c r="H1517" t="s">
        <v>5009</v>
      </c>
      <c r="I1517" t="s">
        <v>1336</v>
      </c>
    </row>
    <row r="1518" spans="1:9">
      <c r="A1518" t="str">
        <f>"0200400 "</f>
        <v xml:space="preserve">0200400 </v>
      </c>
      <c r="B1518" t="s">
        <v>4093</v>
      </c>
      <c r="C1518" t="s">
        <v>5012</v>
      </c>
      <c r="D1518" t="s">
        <v>5013</v>
      </c>
      <c r="E1518" t="s">
        <v>20</v>
      </c>
      <c r="F1518" t="s">
        <v>4575</v>
      </c>
      <c r="G1518" t="s">
        <v>4093</v>
      </c>
      <c r="H1518" t="s">
        <v>5012</v>
      </c>
      <c r="I1518" t="s">
        <v>3935</v>
      </c>
    </row>
    <row r="1519" spans="1:9">
      <c r="A1519" t="str">
        <f>"0200416 "</f>
        <v xml:space="preserve">0200416 </v>
      </c>
      <c r="B1519" t="s">
        <v>4093</v>
      </c>
      <c r="C1519" t="s">
        <v>5014</v>
      </c>
      <c r="D1519" t="s">
        <v>5015</v>
      </c>
      <c r="E1519">
        <v>1</v>
      </c>
      <c r="F1519" t="s">
        <v>5016</v>
      </c>
      <c r="G1519" t="s">
        <v>4093</v>
      </c>
      <c r="H1519" t="s">
        <v>5014</v>
      </c>
      <c r="I1519" t="s">
        <v>5017</v>
      </c>
    </row>
    <row r="1520" spans="1:9">
      <c r="A1520" t="str">
        <f>"0200428 "</f>
        <v xml:space="preserve">0200428 </v>
      </c>
      <c r="B1520" t="s">
        <v>4093</v>
      </c>
      <c r="C1520" t="s">
        <v>5018</v>
      </c>
      <c r="D1520" t="s">
        <v>5019</v>
      </c>
      <c r="E1520">
        <v>1</v>
      </c>
      <c r="F1520" t="s">
        <v>5020</v>
      </c>
      <c r="G1520" t="s">
        <v>4093</v>
      </c>
      <c r="H1520" t="s">
        <v>5018</v>
      </c>
      <c r="I1520" t="s">
        <v>5021</v>
      </c>
    </row>
    <row r="1521" spans="1:9">
      <c r="A1521" t="str">
        <f>"0200430 "</f>
        <v xml:space="preserve">0200430 </v>
      </c>
      <c r="B1521" t="s">
        <v>4093</v>
      </c>
      <c r="C1521" t="s">
        <v>5022</v>
      </c>
      <c r="D1521" t="s">
        <v>5023</v>
      </c>
      <c r="E1521">
        <v>3</v>
      </c>
      <c r="F1521" t="s">
        <v>5024</v>
      </c>
      <c r="G1521" t="s">
        <v>4093</v>
      </c>
      <c r="H1521" t="s">
        <v>5022</v>
      </c>
      <c r="I1521" t="s">
        <v>5025</v>
      </c>
    </row>
    <row r="1522" spans="1:9">
      <c r="A1522" t="str">
        <f>"0200431 "</f>
        <v xml:space="preserve">0200431 </v>
      </c>
      <c r="B1522" t="s">
        <v>4093</v>
      </c>
      <c r="C1522" t="s">
        <v>5026</v>
      </c>
      <c r="D1522" t="s">
        <v>5027</v>
      </c>
      <c r="E1522">
        <v>4</v>
      </c>
      <c r="F1522" t="s">
        <v>5028</v>
      </c>
      <c r="G1522" t="s">
        <v>4093</v>
      </c>
      <c r="H1522" t="s">
        <v>5026</v>
      </c>
      <c r="I1522" t="s">
        <v>5029</v>
      </c>
    </row>
    <row r="1523" spans="1:9">
      <c r="A1523" t="str">
        <f>"0200432 "</f>
        <v xml:space="preserve">0200432 </v>
      </c>
      <c r="B1523" t="s">
        <v>4093</v>
      </c>
      <c r="C1523" t="s">
        <v>5030</v>
      </c>
      <c r="D1523" t="s">
        <v>5031</v>
      </c>
      <c r="E1523">
        <v>5</v>
      </c>
      <c r="F1523" t="s">
        <v>5032</v>
      </c>
      <c r="G1523" t="s">
        <v>4093</v>
      </c>
      <c r="H1523" t="s">
        <v>5030</v>
      </c>
      <c r="I1523" t="s">
        <v>5033</v>
      </c>
    </row>
    <row r="1524" spans="1:9">
      <c r="A1524" t="str">
        <f>"0200434 "</f>
        <v xml:space="preserve">0200434 </v>
      </c>
      <c r="B1524" t="s">
        <v>4093</v>
      </c>
      <c r="C1524" t="s">
        <v>5034</v>
      </c>
      <c r="D1524" t="s">
        <v>5035</v>
      </c>
      <c r="E1524">
        <v>2</v>
      </c>
      <c r="F1524" t="s">
        <v>4683</v>
      </c>
      <c r="G1524" t="s">
        <v>4093</v>
      </c>
      <c r="H1524" t="s">
        <v>5034</v>
      </c>
      <c r="I1524" t="s">
        <v>5036</v>
      </c>
    </row>
    <row r="1525" spans="1:9">
      <c r="A1525" t="str">
        <f>"0200437 "</f>
        <v xml:space="preserve">0200437 </v>
      </c>
      <c r="B1525" t="s">
        <v>4093</v>
      </c>
      <c r="C1525" t="s">
        <v>5037</v>
      </c>
      <c r="D1525" t="s">
        <v>5038</v>
      </c>
      <c r="E1525">
        <v>1</v>
      </c>
      <c r="F1525" t="s">
        <v>5039</v>
      </c>
      <c r="G1525" t="s">
        <v>4093</v>
      </c>
      <c r="H1525" t="s">
        <v>5037</v>
      </c>
      <c r="I1525" t="s">
        <v>1140</v>
      </c>
    </row>
    <row r="1526" spans="1:9">
      <c r="A1526" t="str">
        <f>"0200438 "</f>
        <v xml:space="preserve">0200438 </v>
      </c>
      <c r="B1526" t="s">
        <v>4093</v>
      </c>
      <c r="C1526" t="s">
        <v>5040</v>
      </c>
      <c r="D1526" t="s">
        <v>5041</v>
      </c>
      <c r="E1526">
        <v>1</v>
      </c>
      <c r="F1526" t="s">
        <v>4163</v>
      </c>
      <c r="G1526" t="s">
        <v>4093</v>
      </c>
      <c r="H1526" t="s">
        <v>5040</v>
      </c>
      <c r="I1526" t="s">
        <v>5042</v>
      </c>
    </row>
    <row r="1527" spans="1:9">
      <c r="A1527" t="str">
        <f>"0200439 "</f>
        <v xml:space="preserve">0200439 </v>
      </c>
      <c r="B1527" t="s">
        <v>4093</v>
      </c>
      <c r="C1527" t="s">
        <v>5043</v>
      </c>
      <c r="D1527" t="s">
        <v>5044</v>
      </c>
      <c r="E1527">
        <v>1</v>
      </c>
      <c r="F1527" t="s">
        <v>5045</v>
      </c>
      <c r="G1527" t="s">
        <v>4093</v>
      </c>
      <c r="H1527" t="s">
        <v>5043</v>
      </c>
      <c r="I1527" t="s">
        <v>5046</v>
      </c>
    </row>
    <row r="1528" spans="1:9">
      <c r="A1528" t="str">
        <f>"0200450 "</f>
        <v xml:space="preserve">0200450 </v>
      </c>
      <c r="B1528" t="s">
        <v>4093</v>
      </c>
      <c r="C1528" t="s">
        <v>5047</v>
      </c>
      <c r="D1528" t="s">
        <v>5048</v>
      </c>
      <c r="E1528">
        <v>2</v>
      </c>
      <c r="F1528" t="s">
        <v>5049</v>
      </c>
      <c r="G1528" t="s">
        <v>4093</v>
      </c>
      <c r="H1528" t="s">
        <v>5047</v>
      </c>
      <c r="I1528" t="s">
        <v>5050</v>
      </c>
    </row>
    <row r="1529" spans="1:9">
      <c r="A1529" t="str">
        <f>"0200452 "</f>
        <v xml:space="preserve">0200452 </v>
      </c>
      <c r="B1529" t="s">
        <v>4093</v>
      </c>
      <c r="C1529" t="s">
        <v>5051</v>
      </c>
      <c r="D1529" t="s">
        <v>5052</v>
      </c>
      <c r="E1529">
        <v>3</v>
      </c>
      <c r="F1529" t="s">
        <v>5053</v>
      </c>
      <c r="G1529" t="s">
        <v>4093</v>
      </c>
      <c r="H1529" t="s">
        <v>5051</v>
      </c>
      <c r="I1529" t="s">
        <v>5054</v>
      </c>
    </row>
    <row r="1530" spans="1:9">
      <c r="A1530" t="str">
        <f>"0200453 "</f>
        <v xml:space="preserve">0200453 </v>
      </c>
      <c r="B1530" t="s">
        <v>4093</v>
      </c>
      <c r="C1530" t="s">
        <v>5055</v>
      </c>
      <c r="D1530" t="s">
        <v>5056</v>
      </c>
      <c r="E1530">
        <v>1</v>
      </c>
      <c r="F1530" t="s">
        <v>4103</v>
      </c>
      <c r="G1530" t="s">
        <v>4093</v>
      </c>
      <c r="H1530" t="s">
        <v>5055</v>
      </c>
      <c r="I1530" t="s">
        <v>5057</v>
      </c>
    </row>
    <row r="1531" spans="1:9">
      <c r="A1531" t="str">
        <f>"0200454 "</f>
        <v xml:space="preserve">0200454 </v>
      </c>
      <c r="B1531" t="s">
        <v>4093</v>
      </c>
      <c r="C1531" t="s">
        <v>5058</v>
      </c>
      <c r="D1531" t="s">
        <v>5059</v>
      </c>
      <c r="E1531">
        <v>1</v>
      </c>
      <c r="F1531" t="s">
        <v>5005</v>
      </c>
      <c r="G1531" t="s">
        <v>4093</v>
      </c>
      <c r="H1531" t="s">
        <v>5058</v>
      </c>
      <c r="I1531" t="s">
        <v>5060</v>
      </c>
    </row>
    <row r="1532" spans="1:9">
      <c r="A1532" t="str">
        <f>"0200456 "</f>
        <v xml:space="preserve">0200456 </v>
      </c>
      <c r="B1532" t="s">
        <v>4093</v>
      </c>
      <c r="C1532" t="s">
        <v>5061</v>
      </c>
      <c r="D1532" t="s">
        <v>5062</v>
      </c>
      <c r="E1532">
        <v>1</v>
      </c>
      <c r="F1532" t="s">
        <v>5063</v>
      </c>
      <c r="G1532" t="s">
        <v>4093</v>
      </c>
      <c r="H1532" t="s">
        <v>5061</v>
      </c>
      <c r="I1532" t="s">
        <v>5064</v>
      </c>
    </row>
    <row r="1533" spans="1:9">
      <c r="A1533" t="str">
        <f>"0200457 "</f>
        <v xml:space="preserve">0200457 </v>
      </c>
      <c r="B1533" t="s">
        <v>4093</v>
      </c>
      <c r="C1533" t="s">
        <v>5065</v>
      </c>
      <c r="D1533" t="s">
        <v>5066</v>
      </c>
      <c r="E1533" t="s">
        <v>20</v>
      </c>
      <c r="F1533" t="s">
        <v>1980</v>
      </c>
      <c r="G1533" t="s">
        <v>4093</v>
      </c>
      <c r="H1533" t="s">
        <v>5065</v>
      </c>
      <c r="I1533" t="s">
        <v>5067</v>
      </c>
    </row>
    <row r="1534" spans="1:9">
      <c r="A1534" t="str">
        <f>"0200458 "</f>
        <v xml:space="preserve">0200458 </v>
      </c>
      <c r="B1534" t="s">
        <v>4093</v>
      </c>
      <c r="C1534" t="s">
        <v>5068</v>
      </c>
      <c r="D1534" t="s">
        <v>5069</v>
      </c>
      <c r="E1534">
        <v>3</v>
      </c>
      <c r="F1534" t="s">
        <v>2055</v>
      </c>
      <c r="G1534" t="s">
        <v>4093</v>
      </c>
      <c r="H1534" t="s">
        <v>5068</v>
      </c>
      <c r="I1534" t="s">
        <v>3140</v>
      </c>
    </row>
    <row r="1535" spans="1:9">
      <c r="A1535" t="str">
        <f>"0200461 "</f>
        <v xml:space="preserve">0200461 </v>
      </c>
      <c r="B1535" t="s">
        <v>4093</v>
      </c>
      <c r="C1535" t="s">
        <v>5070</v>
      </c>
      <c r="D1535" t="s">
        <v>5071</v>
      </c>
      <c r="E1535">
        <v>2</v>
      </c>
      <c r="F1535" t="s">
        <v>5072</v>
      </c>
      <c r="G1535" t="s">
        <v>4093</v>
      </c>
      <c r="H1535" t="s">
        <v>5070</v>
      </c>
      <c r="I1535" t="s">
        <v>5073</v>
      </c>
    </row>
    <row r="1536" spans="1:9">
      <c r="A1536" t="str">
        <f>"0200464 "</f>
        <v xml:space="preserve">0200464 </v>
      </c>
      <c r="B1536" t="s">
        <v>4093</v>
      </c>
      <c r="C1536" t="s">
        <v>5074</v>
      </c>
      <c r="D1536" t="s">
        <v>5075</v>
      </c>
      <c r="E1536">
        <v>1</v>
      </c>
      <c r="F1536" t="s">
        <v>4567</v>
      </c>
      <c r="G1536" t="s">
        <v>4093</v>
      </c>
      <c r="H1536" t="s">
        <v>5074</v>
      </c>
      <c r="I1536" t="s">
        <v>3179</v>
      </c>
    </row>
    <row r="1537" spans="1:9">
      <c r="A1537" t="str">
        <f>"0200465 "</f>
        <v xml:space="preserve">0200465 </v>
      </c>
      <c r="B1537" t="s">
        <v>4093</v>
      </c>
      <c r="C1537" t="s">
        <v>5076</v>
      </c>
      <c r="D1537" t="s">
        <v>5077</v>
      </c>
      <c r="E1537">
        <v>2</v>
      </c>
      <c r="F1537" t="s">
        <v>5078</v>
      </c>
      <c r="G1537" t="s">
        <v>4093</v>
      </c>
      <c r="H1537" t="s">
        <v>5076</v>
      </c>
      <c r="I1537" t="s">
        <v>5079</v>
      </c>
    </row>
    <row r="1538" spans="1:9">
      <c r="A1538" t="str">
        <f>"0200466 "</f>
        <v xml:space="preserve">0200466 </v>
      </c>
      <c r="B1538" t="s">
        <v>4093</v>
      </c>
      <c r="C1538" t="s">
        <v>5080</v>
      </c>
      <c r="D1538" t="s">
        <v>5081</v>
      </c>
      <c r="E1538">
        <v>2</v>
      </c>
      <c r="F1538" t="s">
        <v>5082</v>
      </c>
      <c r="G1538" t="s">
        <v>4093</v>
      </c>
      <c r="H1538" t="s">
        <v>5080</v>
      </c>
      <c r="I1538" t="s">
        <v>3187</v>
      </c>
    </row>
    <row r="1539" spans="1:9">
      <c r="A1539" t="str">
        <f>"0200468 "</f>
        <v xml:space="preserve">0200468 </v>
      </c>
      <c r="B1539" t="s">
        <v>4093</v>
      </c>
      <c r="C1539" t="s">
        <v>5083</v>
      </c>
      <c r="D1539" t="s">
        <v>5084</v>
      </c>
      <c r="E1539" t="s">
        <v>20</v>
      </c>
      <c r="F1539" t="s">
        <v>5085</v>
      </c>
      <c r="G1539" t="s">
        <v>4093</v>
      </c>
      <c r="H1539" t="s">
        <v>5083</v>
      </c>
      <c r="I1539" t="s">
        <v>5086</v>
      </c>
    </row>
    <row r="1540" spans="1:9">
      <c r="A1540" t="str">
        <f>"0200471 "</f>
        <v xml:space="preserve">0200471 </v>
      </c>
      <c r="B1540" t="s">
        <v>4093</v>
      </c>
      <c r="C1540" t="s">
        <v>5087</v>
      </c>
      <c r="D1540" t="s">
        <v>5088</v>
      </c>
      <c r="E1540">
        <v>3</v>
      </c>
      <c r="F1540" t="s">
        <v>1811</v>
      </c>
      <c r="G1540" t="s">
        <v>4093</v>
      </c>
      <c r="H1540" t="s">
        <v>5087</v>
      </c>
      <c r="I1540" t="s">
        <v>5089</v>
      </c>
    </row>
    <row r="1541" spans="1:9">
      <c r="A1541" t="str">
        <f>"0200474 "</f>
        <v xml:space="preserve">0200474 </v>
      </c>
      <c r="B1541" t="s">
        <v>4093</v>
      </c>
      <c r="C1541" t="s">
        <v>5090</v>
      </c>
      <c r="D1541" t="s">
        <v>5091</v>
      </c>
      <c r="E1541">
        <v>1</v>
      </c>
      <c r="F1541" t="s">
        <v>4442</v>
      </c>
      <c r="G1541" t="s">
        <v>4093</v>
      </c>
      <c r="H1541" t="s">
        <v>5090</v>
      </c>
      <c r="I1541" t="s">
        <v>5092</v>
      </c>
    </row>
    <row r="1542" spans="1:9">
      <c r="A1542" t="str">
        <f>"0200476 "</f>
        <v xml:space="preserve">0200476 </v>
      </c>
      <c r="B1542" t="s">
        <v>4093</v>
      </c>
      <c r="C1542" t="s">
        <v>5093</v>
      </c>
      <c r="D1542" t="s">
        <v>5094</v>
      </c>
      <c r="E1542">
        <v>2</v>
      </c>
      <c r="F1542" t="s">
        <v>5095</v>
      </c>
      <c r="G1542" t="s">
        <v>4093</v>
      </c>
      <c r="H1542" t="s">
        <v>5093</v>
      </c>
      <c r="I1542" t="s">
        <v>5096</v>
      </c>
    </row>
    <row r="1543" spans="1:9">
      <c r="A1543" t="str">
        <f>"0200477 "</f>
        <v xml:space="preserve">0200477 </v>
      </c>
      <c r="B1543" t="s">
        <v>4093</v>
      </c>
      <c r="C1543" t="s">
        <v>5097</v>
      </c>
      <c r="D1543" t="s">
        <v>5098</v>
      </c>
      <c r="E1543">
        <v>3</v>
      </c>
      <c r="F1543" t="s">
        <v>4484</v>
      </c>
      <c r="G1543" t="s">
        <v>4093</v>
      </c>
      <c r="H1543" t="s">
        <v>5097</v>
      </c>
      <c r="I1543" t="s">
        <v>1079</v>
      </c>
    </row>
    <row r="1544" spans="1:9">
      <c r="A1544" t="str">
        <f>"0200478 "</f>
        <v xml:space="preserve">0200478 </v>
      </c>
      <c r="B1544" t="s">
        <v>4093</v>
      </c>
      <c r="C1544" t="s">
        <v>5099</v>
      </c>
      <c r="D1544" t="s">
        <v>5100</v>
      </c>
      <c r="E1544">
        <v>1</v>
      </c>
      <c r="F1544" t="s">
        <v>4177</v>
      </c>
      <c r="G1544" t="s">
        <v>4093</v>
      </c>
      <c r="H1544" t="s">
        <v>5099</v>
      </c>
      <c r="I1544" t="s">
        <v>5101</v>
      </c>
    </row>
    <row r="1545" spans="1:9">
      <c r="A1545" t="str">
        <f>"0200481 "</f>
        <v xml:space="preserve">0200481 </v>
      </c>
      <c r="B1545" t="s">
        <v>4093</v>
      </c>
      <c r="C1545" t="s">
        <v>5102</v>
      </c>
      <c r="D1545" t="s">
        <v>5103</v>
      </c>
      <c r="E1545">
        <v>5</v>
      </c>
      <c r="F1545" t="s">
        <v>4271</v>
      </c>
      <c r="G1545" t="s">
        <v>4093</v>
      </c>
      <c r="H1545" t="s">
        <v>5102</v>
      </c>
      <c r="I1545" t="s">
        <v>1359</v>
      </c>
    </row>
    <row r="1546" spans="1:9">
      <c r="A1546" t="str">
        <f>"0200482 "</f>
        <v xml:space="preserve">0200482 </v>
      </c>
      <c r="B1546" t="s">
        <v>4093</v>
      </c>
      <c r="C1546" t="s">
        <v>5104</v>
      </c>
      <c r="D1546" t="s">
        <v>5105</v>
      </c>
      <c r="E1546" t="s">
        <v>20</v>
      </c>
      <c r="F1546" t="s">
        <v>5106</v>
      </c>
      <c r="G1546" t="s">
        <v>4093</v>
      </c>
      <c r="H1546" t="s">
        <v>5104</v>
      </c>
      <c r="I1546" t="s">
        <v>5107</v>
      </c>
    </row>
    <row r="1547" spans="1:9">
      <c r="A1547" t="str">
        <f>"0200484 "</f>
        <v xml:space="preserve">0200484 </v>
      </c>
      <c r="B1547" t="s">
        <v>4093</v>
      </c>
      <c r="C1547" t="s">
        <v>5108</v>
      </c>
      <c r="D1547" t="s">
        <v>5109</v>
      </c>
      <c r="E1547">
        <v>2</v>
      </c>
      <c r="F1547" t="s">
        <v>4543</v>
      </c>
      <c r="G1547" t="s">
        <v>4093</v>
      </c>
      <c r="H1547" t="s">
        <v>5108</v>
      </c>
      <c r="I1547" t="s">
        <v>1072</v>
      </c>
    </row>
    <row r="1548" spans="1:9">
      <c r="A1548" t="str">
        <f>"0200488 "</f>
        <v xml:space="preserve">0200488 </v>
      </c>
      <c r="B1548" t="s">
        <v>4093</v>
      </c>
      <c r="C1548" t="s">
        <v>5110</v>
      </c>
      <c r="D1548" t="s">
        <v>5111</v>
      </c>
      <c r="E1548" t="s">
        <v>20</v>
      </c>
      <c r="F1548" t="s">
        <v>163</v>
      </c>
      <c r="G1548" t="s">
        <v>4093</v>
      </c>
      <c r="H1548" t="s">
        <v>5110</v>
      </c>
      <c r="I1548" t="s">
        <v>5112</v>
      </c>
    </row>
    <row r="1549" spans="1:9">
      <c r="A1549" t="str">
        <f>"0200491 "</f>
        <v xml:space="preserve">0200491 </v>
      </c>
      <c r="B1549" t="s">
        <v>4093</v>
      </c>
      <c r="C1549" t="s">
        <v>5113</v>
      </c>
      <c r="D1549" t="s">
        <v>5114</v>
      </c>
      <c r="E1549" t="s">
        <v>20</v>
      </c>
      <c r="F1549" t="s">
        <v>5115</v>
      </c>
      <c r="G1549" t="s">
        <v>4093</v>
      </c>
      <c r="H1549" t="s">
        <v>5113</v>
      </c>
      <c r="I1549" t="s">
        <v>5116</v>
      </c>
    </row>
    <row r="1550" spans="1:9">
      <c r="A1550" t="str">
        <f>"0200495 "</f>
        <v xml:space="preserve">0200495 </v>
      </c>
      <c r="B1550" t="s">
        <v>4093</v>
      </c>
      <c r="C1550" t="s">
        <v>5117</v>
      </c>
      <c r="D1550" t="s">
        <v>5118</v>
      </c>
      <c r="E1550">
        <v>1</v>
      </c>
      <c r="F1550" t="s">
        <v>4484</v>
      </c>
      <c r="G1550" t="s">
        <v>4093</v>
      </c>
      <c r="H1550" t="s">
        <v>5117</v>
      </c>
      <c r="I1550" t="s">
        <v>5119</v>
      </c>
    </row>
    <row r="1551" spans="1:9">
      <c r="A1551" t="str">
        <f>"0200497 "</f>
        <v xml:space="preserve">0200497 </v>
      </c>
      <c r="B1551" t="s">
        <v>4093</v>
      </c>
      <c r="C1551" t="s">
        <v>5120</v>
      </c>
      <c r="D1551" t="s">
        <v>5121</v>
      </c>
      <c r="E1551">
        <v>1</v>
      </c>
      <c r="F1551" t="s">
        <v>5122</v>
      </c>
      <c r="G1551" t="s">
        <v>4093</v>
      </c>
      <c r="H1551" t="s">
        <v>5120</v>
      </c>
      <c r="I1551" t="s">
        <v>5123</v>
      </c>
    </row>
    <row r="1552" spans="1:9">
      <c r="A1552" t="str">
        <f>"0200500 "</f>
        <v xml:space="preserve">0200500 </v>
      </c>
      <c r="B1552" t="s">
        <v>4093</v>
      </c>
      <c r="C1552" t="s">
        <v>5124</v>
      </c>
      <c r="D1552" t="s">
        <v>5125</v>
      </c>
      <c r="E1552">
        <v>1</v>
      </c>
      <c r="F1552" t="s">
        <v>5126</v>
      </c>
      <c r="G1552" t="s">
        <v>4093</v>
      </c>
      <c r="H1552" t="s">
        <v>5124</v>
      </c>
      <c r="I1552" t="s">
        <v>5127</v>
      </c>
    </row>
    <row r="1553" spans="1:9">
      <c r="A1553" t="str">
        <f>"0200501 "</f>
        <v xml:space="preserve">0200501 </v>
      </c>
      <c r="B1553" t="s">
        <v>4093</v>
      </c>
      <c r="C1553" t="s">
        <v>5128</v>
      </c>
      <c r="D1553" t="s">
        <v>5129</v>
      </c>
      <c r="E1553">
        <v>2</v>
      </c>
      <c r="F1553" t="s">
        <v>4203</v>
      </c>
      <c r="G1553" t="s">
        <v>4093</v>
      </c>
      <c r="H1553" t="s">
        <v>5128</v>
      </c>
      <c r="I1553" t="s">
        <v>5130</v>
      </c>
    </row>
    <row r="1554" spans="1:9">
      <c r="A1554" t="str">
        <f>"0200502 "</f>
        <v xml:space="preserve">0200502 </v>
      </c>
      <c r="B1554" t="s">
        <v>4093</v>
      </c>
      <c r="C1554" t="s">
        <v>5131</v>
      </c>
      <c r="D1554" t="s">
        <v>5132</v>
      </c>
      <c r="E1554">
        <v>1</v>
      </c>
      <c r="F1554" t="s">
        <v>5133</v>
      </c>
      <c r="G1554" t="s">
        <v>4093</v>
      </c>
      <c r="H1554" t="s">
        <v>5131</v>
      </c>
      <c r="I1554" t="s">
        <v>5134</v>
      </c>
    </row>
    <row r="1555" spans="1:9">
      <c r="A1555" t="str">
        <f>"0200503 "</f>
        <v xml:space="preserve">0200503 </v>
      </c>
      <c r="B1555" t="s">
        <v>4093</v>
      </c>
      <c r="C1555" t="s">
        <v>5135</v>
      </c>
      <c r="D1555" t="s">
        <v>5136</v>
      </c>
      <c r="E1555">
        <v>2</v>
      </c>
      <c r="F1555" t="s">
        <v>5137</v>
      </c>
      <c r="G1555" t="s">
        <v>4093</v>
      </c>
      <c r="H1555" t="s">
        <v>5135</v>
      </c>
      <c r="I1555" t="s">
        <v>5138</v>
      </c>
    </row>
    <row r="1556" spans="1:9">
      <c r="A1556" t="str">
        <f>"0200505 "</f>
        <v xml:space="preserve">0200505 </v>
      </c>
      <c r="B1556" t="s">
        <v>4093</v>
      </c>
      <c r="C1556" t="s">
        <v>5139</v>
      </c>
      <c r="D1556" t="s">
        <v>5140</v>
      </c>
      <c r="E1556">
        <v>2</v>
      </c>
      <c r="F1556" t="s">
        <v>1722</v>
      </c>
      <c r="G1556" t="s">
        <v>4093</v>
      </c>
      <c r="H1556" t="s">
        <v>5139</v>
      </c>
      <c r="I1556" t="s">
        <v>5141</v>
      </c>
    </row>
    <row r="1557" spans="1:9">
      <c r="A1557" t="str">
        <f>"0200508 "</f>
        <v xml:space="preserve">0200508 </v>
      </c>
      <c r="B1557" t="s">
        <v>4093</v>
      </c>
      <c r="C1557" t="s">
        <v>5142</v>
      </c>
      <c r="D1557" t="s">
        <v>5143</v>
      </c>
      <c r="E1557" t="s">
        <v>20</v>
      </c>
      <c r="F1557" t="s">
        <v>2043</v>
      </c>
      <c r="G1557" t="s">
        <v>4093</v>
      </c>
      <c r="H1557" t="s">
        <v>5142</v>
      </c>
      <c r="I1557" t="s">
        <v>3129</v>
      </c>
    </row>
    <row r="1558" spans="1:9">
      <c r="A1558" t="str">
        <f>"0200509 "</f>
        <v xml:space="preserve">0200509 </v>
      </c>
      <c r="B1558" t="s">
        <v>4093</v>
      </c>
      <c r="C1558" t="s">
        <v>5144</v>
      </c>
      <c r="D1558" t="s">
        <v>5145</v>
      </c>
      <c r="E1558" t="s">
        <v>20</v>
      </c>
      <c r="F1558" t="s">
        <v>1803</v>
      </c>
      <c r="G1558" t="s">
        <v>4093</v>
      </c>
      <c r="H1558" t="s">
        <v>5144</v>
      </c>
      <c r="I1558" t="s">
        <v>3942</v>
      </c>
    </row>
    <row r="1559" spans="1:9">
      <c r="A1559" t="str">
        <f>"0200510 "</f>
        <v xml:space="preserve">0200510 </v>
      </c>
      <c r="B1559" t="s">
        <v>4093</v>
      </c>
      <c r="C1559" t="s">
        <v>5146</v>
      </c>
      <c r="D1559" t="s">
        <v>5147</v>
      </c>
      <c r="E1559" t="s">
        <v>20</v>
      </c>
      <c r="F1559" t="s">
        <v>5039</v>
      </c>
      <c r="G1559" t="s">
        <v>4093</v>
      </c>
      <c r="H1559" t="s">
        <v>5146</v>
      </c>
      <c r="I1559" t="s">
        <v>5148</v>
      </c>
    </row>
    <row r="1560" spans="1:9">
      <c r="A1560" t="str">
        <f>"0200512 "</f>
        <v xml:space="preserve">0200512 </v>
      </c>
      <c r="B1560" t="s">
        <v>4093</v>
      </c>
      <c r="C1560" t="s">
        <v>5149</v>
      </c>
      <c r="D1560" t="s">
        <v>5150</v>
      </c>
      <c r="E1560">
        <v>1</v>
      </c>
      <c r="F1560" t="s">
        <v>5151</v>
      </c>
      <c r="G1560" t="s">
        <v>4093</v>
      </c>
      <c r="H1560" t="s">
        <v>5149</v>
      </c>
      <c r="I1560" t="s">
        <v>5152</v>
      </c>
    </row>
    <row r="1561" spans="1:9">
      <c r="A1561" t="str">
        <f>"0200513 "</f>
        <v xml:space="preserve">0200513 </v>
      </c>
      <c r="B1561" t="s">
        <v>4093</v>
      </c>
      <c r="C1561" t="s">
        <v>5153</v>
      </c>
      <c r="D1561" t="s">
        <v>5154</v>
      </c>
      <c r="E1561" t="s">
        <v>20</v>
      </c>
      <c r="F1561" t="s">
        <v>4509</v>
      </c>
      <c r="G1561" t="s">
        <v>4093</v>
      </c>
      <c r="H1561" t="s">
        <v>5153</v>
      </c>
      <c r="I1561" t="s">
        <v>1370</v>
      </c>
    </row>
    <row r="1562" spans="1:9">
      <c r="A1562" t="str">
        <f>"0249525 "</f>
        <v xml:space="preserve">0249525 </v>
      </c>
      <c r="B1562" t="s">
        <v>5155</v>
      </c>
      <c r="C1562" t="s">
        <v>5156</v>
      </c>
      <c r="D1562" t="s">
        <v>5157</v>
      </c>
      <c r="E1562" t="s">
        <v>20</v>
      </c>
      <c r="F1562" t="s">
        <v>5158</v>
      </c>
      <c r="G1562" t="s">
        <v>5155</v>
      </c>
      <c r="H1562" t="s">
        <v>5156</v>
      </c>
      <c r="I1562" t="s">
        <v>5159</v>
      </c>
    </row>
    <row r="1563" spans="1:9">
      <c r="A1563" t="str">
        <f>"0251997 "</f>
        <v xml:space="preserve">0251997 </v>
      </c>
      <c r="B1563" t="s">
        <v>5155</v>
      </c>
      <c r="C1563" t="s">
        <v>5160</v>
      </c>
      <c r="D1563" t="s">
        <v>5161</v>
      </c>
      <c r="E1563">
        <v>5</v>
      </c>
      <c r="F1563" t="s">
        <v>5162</v>
      </c>
      <c r="G1563" t="s">
        <v>5155</v>
      </c>
      <c r="H1563" t="s">
        <v>5160</v>
      </c>
      <c r="I1563" t="s">
        <v>5163</v>
      </c>
    </row>
    <row r="1564" spans="1:9">
      <c r="A1564" t="str">
        <f>"0249526 "</f>
        <v xml:space="preserve">0249526 </v>
      </c>
      <c r="B1564" t="s">
        <v>5155</v>
      </c>
      <c r="C1564" t="s">
        <v>5164</v>
      </c>
      <c r="D1564" t="s">
        <v>5165</v>
      </c>
      <c r="E1564" t="s">
        <v>20</v>
      </c>
      <c r="F1564" t="s">
        <v>5166</v>
      </c>
      <c r="G1564" t="s">
        <v>5155</v>
      </c>
      <c r="H1564" t="s">
        <v>5164</v>
      </c>
      <c r="I1564" t="s">
        <v>5167</v>
      </c>
    </row>
    <row r="1565" spans="1:9">
      <c r="A1565" t="str">
        <f>"0249531 "</f>
        <v xml:space="preserve">0249531 </v>
      </c>
      <c r="B1565" t="s">
        <v>5155</v>
      </c>
      <c r="C1565" t="s">
        <v>5168</v>
      </c>
      <c r="D1565" t="s">
        <v>5169</v>
      </c>
      <c r="E1565" t="s">
        <v>20</v>
      </c>
      <c r="F1565" t="s">
        <v>5170</v>
      </c>
      <c r="G1565" t="s">
        <v>5155</v>
      </c>
      <c r="H1565" t="s">
        <v>5168</v>
      </c>
      <c r="I1565" t="s">
        <v>5171</v>
      </c>
    </row>
    <row r="1566" spans="1:9">
      <c r="A1566" t="str">
        <f>"0249530 "</f>
        <v xml:space="preserve">0249530 </v>
      </c>
      <c r="B1566" t="s">
        <v>5155</v>
      </c>
      <c r="C1566" t="s">
        <v>5172</v>
      </c>
      <c r="D1566" t="s">
        <v>5173</v>
      </c>
      <c r="E1566">
        <v>3</v>
      </c>
      <c r="F1566" t="s">
        <v>5174</v>
      </c>
      <c r="G1566" t="s">
        <v>5155</v>
      </c>
      <c r="H1566" t="s">
        <v>5172</v>
      </c>
      <c r="I1566" t="s">
        <v>5171</v>
      </c>
    </row>
    <row r="1567" spans="1:9">
      <c r="A1567" t="str">
        <f>"0249528 "</f>
        <v xml:space="preserve">0249528 </v>
      </c>
      <c r="B1567" t="s">
        <v>5155</v>
      </c>
      <c r="C1567" t="s">
        <v>5175</v>
      </c>
      <c r="D1567" t="s">
        <v>5176</v>
      </c>
      <c r="E1567">
        <v>2</v>
      </c>
      <c r="F1567" t="s">
        <v>5177</v>
      </c>
      <c r="G1567" t="s">
        <v>5155</v>
      </c>
      <c r="H1567" t="s">
        <v>5175</v>
      </c>
      <c r="I1567" t="s">
        <v>5178</v>
      </c>
    </row>
    <row r="1568" spans="1:9">
      <c r="A1568" t="str">
        <f>"0249532 "</f>
        <v xml:space="preserve">0249532 </v>
      </c>
      <c r="B1568" t="s">
        <v>5155</v>
      </c>
      <c r="C1568" t="s">
        <v>5179</v>
      </c>
      <c r="D1568" t="s">
        <v>5180</v>
      </c>
      <c r="E1568" t="s">
        <v>20</v>
      </c>
      <c r="F1568" t="s">
        <v>5181</v>
      </c>
      <c r="G1568" t="s">
        <v>5155</v>
      </c>
      <c r="H1568" t="s">
        <v>5179</v>
      </c>
      <c r="I1568" t="s">
        <v>5182</v>
      </c>
    </row>
    <row r="1569" spans="1:9">
      <c r="A1569" t="str">
        <f>"0249533 "</f>
        <v xml:space="preserve">0249533 </v>
      </c>
      <c r="B1569" t="s">
        <v>5155</v>
      </c>
      <c r="C1569" t="s">
        <v>5183</v>
      </c>
      <c r="D1569" t="s">
        <v>5184</v>
      </c>
      <c r="E1569">
        <v>4</v>
      </c>
      <c r="F1569" t="s">
        <v>5185</v>
      </c>
      <c r="G1569" t="s">
        <v>5155</v>
      </c>
      <c r="H1569" t="s">
        <v>5183</v>
      </c>
      <c r="I1569" t="s">
        <v>5182</v>
      </c>
    </row>
    <row r="1570" spans="1:9">
      <c r="A1570" t="str">
        <f>"0249524 "</f>
        <v xml:space="preserve">0249524 </v>
      </c>
      <c r="B1570" t="s">
        <v>5155</v>
      </c>
      <c r="C1570" t="s">
        <v>5186</v>
      </c>
      <c r="D1570" t="s">
        <v>5187</v>
      </c>
      <c r="E1570">
        <v>4</v>
      </c>
      <c r="F1570" t="s">
        <v>5188</v>
      </c>
      <c r="G1570" t="s">
        <v>5155</v>
      </c>
      <c r="H1570" t="s">
        <v>5186</v>
      </c>
      <c r="I1570" t="s">
        <v>5189</v>
      </c>
    </row>
    <row r="1571" spans="1:9">
      <c r="A1571" t="str">
        <f>"0249523 "</f>
        <v xml:space="preserve">0249523 </v>
      </c>
      <c r="B1571" t="s">
        <v>5155</v>
      </c>
      <c r="C1571" t="s">
        <v>5190</v>
      </c>
      <c r="D1571" t="s">
        <v>5191</v>
      </c>
      <c r="E1571">
        <v>5</v>
      </c>
      <c r="F1571" t="s">
        <v>5192</v>
      </c>
      <c r="G1571" t="s">
        <v>5155</v>
      </c>
      <c r="H1571" t="s">
        <v>5190</v>
      </c>
      <c r="I1571" t="s">
        <v>5189</v>
      </c>
    </row>
    <row r="1572" spans="1:9">
      <c r="A1572" t="str">
        <f>"0249518 "</f>
        <v xml:space="preserve">0249518 </v>
      </c>
      <c r="B1572" t="s">
        <v>5155</v>
      </c>
      <c r="C1572" t="s">
        <v>5193</v>
      </c>
      <c r="D1572" t="s">
        <v>5194</v>
      </c>
      <c r="E1572">
        <v>1</v>
      </c>
      <c r="F1572" t="s">
        <v>5195</v>
      </c>
      <c r="G1572" t="s">
        <v>5155</v>
      </c>
      <c r="H1572" t="s">
        <v>5193</v>
      </c>
      <c r="I1572" t="s">
        <v>5196</v>
      </c>
    </row>
    <row r="1573" spans="1:9">
      <c r="A1573" t="str">
        <f>"0249519 "</f>
        <v xml:space="preserve">0249519 </v>
      </c>
      <c r="B1573" t="s">
        <v>5155</v>
      </c>
      <c r="C1573" t="s">
        <v>5197</v>
      </c>
      <c r="D1573" t="s">
        <v>5198</v>
      </c>
      <c r="E1573">
        <v>2</v>
      </c>
      <c r="F1573" t="s">
        <v>5199</v>
      </c>
      <c r="G1573" t="s">
        <v>5155</v>
      </c>
      <c r="H1573" t="s">
        <v>5197</v>
      </c>
      <c r="I1573" t="s">
        <v>5196</v>
      </c>
    </row>
    <row r="1574" spans="1:9">
      <c r="A1574" t="str">
        <f>"0249512 "</f>
        <v xml:space="preserve">0249512 </v>
      </c>
      <c r="B1574" t="s">
        <v>5155</v>
      </c>
      <c r="C1574" t="s">
        <v>5200</v>
      </c>
      <c r="D1574" t="s">
        <v>5201</v>
      </c>
      <c r="E1574">
        <v>4</v>
      </c>
      <c r="F1574" t="s">
        <v>5202</v>
      </c>
      <c r="G1574" t="s">
        <v>5155</v>
      </c>
      <c r="H1574" t="s">
        <v>5200</v>
      </c>
      <c r="I1574" t="s">
        <v>5203</v>
      </c>
    </row>
    <row r="1575" spans="1:9">
      <c r="A1575" t="str">
        <f>"0249514 "</f>
        <v xml:space="preserve">0249514 </v>
      </c>
      <c r="B1575" t="s">
        <v>5155</v>
      </c>
      <c r="C1575" t="s">
        <v>5204</v>
      </c>
      <c r="D1575" t="s">
        <v>5205</v>
      </c>
      <c r="E1575">
        <v>1</v>
      </c>
      <c r="F1575" t="s">
        <v>5206</v>
      </c>
      <c r="G1575" t="s">
        <v>5155</v>
      </c>
      <c r="H1575" t="s">
        <v>5204</v>
      </c>
      <c r="I1575" t="s">
        <v>5207</v>
      </c>
    </row>
    <row r="1576" spans="1:9">
      <c r="A1576" t="str">
        <f>"0249515 "</f>
        <v xml:space="preserve">0249515 </v>
      </c>
      <c r="B1576" t="s">
        <v>5155</v>
      </c>
      <c r="C1576" t="s">
        <v>5208</v>
      </c>
      <c r="D1576" t="s">
        <v>5209</v>
      </c>
      <c r="E1576">
        <v>4</v>
      </c>
      <c r="F1576" t="s">
        <v>5210</v>
      </c>
      <c r="G1576" t="s">
        <v>5155</v>
      </c>
      <c r="H1576" t="s">
        <v>5208</v>
      </c>
      <c r="I1576" t="s">
        <v>5207</v>
      </c>
    </row>
    <row r="1577" spans="1:9">
      <c r="A1577" t="str">
        <f>"0249516 "</f>
        <v xml:space="preserve">0249516 </v>
      </c>
      <c r="B1577" t="s">
        <v>5155</v>
      </c>
      <c r="C1577" t="s">
        <v>5211</v>
      </c>
      <c r="D1577" t="s">
        <v>5212</v>
      </c>
      <c r="E1577" t="s">
        <v>20</v>
      </c>
      <c r="F1577" t="s">
        <v>5213</v>
      </c>
      <c r="G1577" t="s">
        <v>5155</v>
      </c>
      <c r="H1577" t="s">
        <v>5211</v>
      </c>
      <c r="I1577" t="s">
        <v>5207</v>
      </c>
    </row>
    <row r="1578" spans="1:9">
      <c r="A1578" t="str">
        <f>"0249451 "</f>
        <v xml:space="preserve">0249451 </v>
      </c>
      <c r="B1578" t="s">
        <v>5155</v>
      </c>
      <c r="C1578" t="s">
        <v>5214</v>
      </c>
      <c r="D1578" t="s">
        <v>5215</v>
      </c>
      <c r="E1578">
        <v>1</v>
      </c>
      <c r="F1578" t="s">
        <v>5216</v>
      </c>
      <c r="G1578" t="s">
        <v>5155</v>
      </c>
      <c r="H1578" t="s">
        <v>5214</v>
      </c>
      <c r="I1578" t="s">
        <v>5217</v>
      </c>
    </row>
    <row r="1579" spans="1:9">
      <c r="A1579" t="str">
        <f>"0249454 "</f>
        <v xml:space="preserve">0249454 </v>
      </c>
      <c r="B1579" t="s">
        <v>5155</v>
      </c>
      <c r="C1579" t="s">
        <v>5218</v>
      </c>
      <c r="D1579" t="s">
        <v>5219</v>
      </c>
      <c r="E1579">
        <v>1</v>
      </c>
      <c r="F1579" t="s">
        <v>5220</v>
      </c>
      <c r="G1579" t="s">
        <v>5155</v>
      </c>
      <c r="H1579" t="s">
        <v>5218</v>
      </c>
      <c r="I1579" t="s">
        <v>5221</v>
      </c>
    </row>
    <row r="1580" spans="1:9">
      <c r="A1580" t="str">
        <f>"0249502 "</f>
        <v xml:space="preserve">0249502 </v>
      </c>
      <c r="B1580" t="s">
        <v>5155</v>
      </c>
      <c r="C1580" t="s">
        <v>5222</v>
      </c>
      <c r="D1580" t="s">
        <v>5223</v>
      </c>
      <c r="E1580">
        <v>2</v>
      </c>
      <c r="F1580" t="s">
        <v>5224</v>
      </c>
      <c r="G1580" t="s">
        <v>5155</v>
      </c>
      <c r="H1580" t="s">
        <v>5222</v>
      </c>
      <c r="I1580" t="s">
        <v>5225</v>
      </c>
    </row>
    <row r="1581" spans="1:9">
      <c r="A1581" t="str">
        <f>"0249503 "</f>
        <v xml:space="preserve">0249503 </v>
      </c>
      <c r="B1581" t="s">
        <v>5155</v>
      </c>
      <c r="C1581" t="s">
        <v>5226</v>
      </c>
      <c r="D1581" t="s">
        <v>5227</v>
      </c>
      <c r="E1581">
        <v>1</v>
      </c>
      <c r="F1581" t="s">
        <v>5228</v>
      </c>
      <c r="G1581" t="s">
        <v>5155</v>
      </c>
      <c r="H1581" t="s">
        <v>5226</v>
      </c>
      <c r="I1581" t="s">
        <v>5225</v>
      </c>
    </row>
    <row r="1582" spans="1:9">
      <c r="A1582" t="str">
        <f>"0249506 "</f>
        <v xml:space="preserve">0249506 </v>
      </c>
      <c r="B1582" t="s">
        <v>5155</v>
      </c>
      <c r="C1582" t="s">
        <v>5229</v>
      </c>
      <c r="D1582" t="s">
        <v>5230</v>
      </c>
      <c r="E1582" t="s">
        <v>20</v>
      </c>
      <c r="F1582" t="s">
        <v>5231</v>
      </c>
      <c r="G1582" t="s">
        <v>5155</v>
      </c>
      <c r="H1582" t="s">
        <v>5229</v>
      </c>
      <c r="I1582" t="s">
        <v>5225</v>
      </c>
    </row>
    <row r="1583" spans="1:9">
      <c r="A1583" t="str">
        <f>"0249505 "</f>
        <v xml:space="preserve">0249505 </v>
      </c>
      <c r="B1583" t="s">
        <v>5155</v>
      </c>
      <c r="C1583" t="s">
        <v>5232</v>
      </c>
      <c r="D1583" t="s">
        <v>5233</v>
      </c>
      <c r="E1583" t="s">
        <v>20</v>
      </c>
      <c r="F1583" t="s">
        <v>5234</v>
      </c>
      <c r="G1583" t="s">
        <v>5155</v>
      </c>
      <c r="H1583" t="s">
        <v>5232</v>
      </c>
      <c r="I1583" t="s">
        <v>5225</v>
      </c>
    </row>
    <row r="1584" spans="1:9">
      <c r="A1584" t="str">
        <f>"0249504 "</f>
        <v xml:space="preserve">0249504 </v>
      </c>
      <c r="B1584" t="s">
        <v>5155</v>
      </c>
      <c r="C1584" t="s">
        <v>5235</v>
      </c>
      <c r="D1584" t="s">
        <v>5236</v>
      </c>
      <c r="E1584" t="s">
        <v>20</v>
      </c>
      <c r="F1584" t="s">
        <v>5237</v>
      </c>
      <c r="G1584" t="s">
        <v>5155</v>
      </c>
      <c r="H1584" t="s">
        <v>5235</v>
      </c>
      <c r="I1584" t="s">
        <v>5225</v>
      </c>
    </row>
    <row r="1585" spans="1:9">
      <c r="A1585" t="str">
        <f>"0249507 "</f>
        <v xml:space="preserve">0249507 </v>
      </c>
      <c r="B1585" t="s">
        <v>5155</v>
      </c>
      <c r="C1585" t="s">
        <v>5238</v>
      </c>
      <c r="D1585" t="s">
        <v>5239</v>
      </c>
      <c r="E1585">
        <v>2</v>
      </c>
      <c r="F1585" t="s">
        <v>5240</v>
      </c>
      <c r="G1585" t="s">
        <v>5155</v>
      </c>
      <c r="H1585" t="s">
        <v>5238</v>
      </c>
      <c r="I1585" t="s">
        <v>5241</v>
      </c>
    </row>
    <row r="1586" spans="1:9">
      <c r="A1586" t="str">
        <f>"0249501 "</f>
        <v xml:space="preserve">0249501 </v>
      </c>
      <c r="B1586" t="s">
        <v>5155</v>
      </c>
      <c r="C1586" t="s">
        <v>5242</v>
      </c>
      <c r="D1586" t="s">
        <v>5243</v>
      </c>
      <c r="E1586">
        <v>3</v>
      </c>
      <c r="F1586" t="s">
        <v>5244</v>
      </c>
      <c r="G1586" t="s">
        <v>5155</v>
      </c>
      <c r="H1586" t="s">
        <v>5242</v>
      </c>
      <c r="I1586" t="s">
        <v>5245</v>
      </c>
    </row>
    <row r="1587" spans="1:9">
      <c r="A1587" t="str">
        <f>"0249500 "</f>
        <v xml:space="preserve">0249500 </v>
      </c>
      <c r="B1587" t="s">
        <v>5155</v>
      </c>
      <c r="C1587" t="s">
        <v>5246</v>
      </c>
      <c r="D1587" t="s">
        <v>5247</v>
      </c>
      <c r="E1587">
        <v>4</v>
      </c>
      <c r="F1587" t="s">
        <v>5248</v>
      </c>
      <c r="G1587" t="s">
        <v>5155</v>
      </c>
      <c r="H1587" t="s">
        <v>5246</v>
      </c>
      <c r="I1587" t="s">
        <v>5245</v>
      </c>
    </row>
    <row r="1588" spans="1:9">
      <c r="A1588" t="str">
        <f>"0249499 "</f>
        <v xml:space="preserve">0249499 </v>
      </c>
      <c r="B1588" t="s">
        <v>5155</v>
      </c>
      <c r="C1588" t="s">
        <v>5249</v>
      </c>
      <c r="D1588" t="s">
        <v>5250</v>
      </c>
      <c r="E1588">
        <v>4</v>
      </c>
      <c r="F1588" t="s">
        <v>5251</v>
      </c>
      <c r="G1588" t="s">
        <v>5155</v>
      </c>
      <c r="H1588" t="s">
        <v>5249</v>
      </c>
      <c r="I1588" t="s">
        <v>5245</v>
      </c>
    </row>
    <row r="1589" spans="1:9">
      <c r="A1589" t="str">
        <f>"0249497 "</f>
        <v xml:space="preserve">0249497 </v>
      </c>
      <c r="B1589" t="s">
        <v>5155</v>
      </c>
      <c r="C1589" t="s">
        <v>5252</v>
      </c>
      <c r="D1589" t="s">
        <v>5253</v>
      </c>
      <c r="E1589">
        <v>5</v>
      </c>
      <c r="F1589" t="s">
        <v>5254</v>
      </c>
      <c r="G1589" t="s">
        <v>5155</v>
      </c>
      <c r="H1589" t="s">
        <v>5252</v>
      </c>
      <c r="I1589" t="s">
        <v>5245</v>
      </c>
    </row>
    <row r="1590" spans="1:9">
      <c r="A1590" t="str">
        <f>"0249733 "</f>
        <v xml:space="preserve">0249733 </v>
      </c>
      <c r="B1590" t="s">
        <v>5155</v>
      </c>
      <c r="C1590" t="s">
        <v>5255</v>
      </c>
      <c r="D1590" t="s">
        <v>5256</v>
      </c>
      <c r="E1590">
        <v>2</v>
      </c>
      <c r="F1590" t="s">
        <v>5257</v>
      </c>
      <c r="G1590" t="s">
        <v>5155</v>
      </c>
      <c r="H1590" t="s">
        <v>5255</v>
      </c>
      <c r="I1590" t="s">
        <v>5258</v>
      </c>
    </row>
    <row r="1591" spans="1:9">
      <c r="A1591" t="str">
        <f>"0249472 "</f>
        <v xml:space="preserve">0249472 </v>
      </c>
      <c r="B1591" t="s">
        <v>5155</v>
      </c>
      <c r="C1591" t="s">
        <v>5259</v>
      </c>
      <c r="D1591" t="s">
        <v>5260</v>
      </c>
      <c r="E1591">
        <v>1</v>
      </c>
      <c r="F1591" t="s">
        <v>5261</v>
      </c>
      <c r="G1591" t="s">
        <v>5155</v>
      </c>
      <c r="H1591" t="s">
        <v>5259</v>
      </c>
      <c r="I1591" t="s">
        <v>5262</v>
      </c>
    </row>
    <row r="1592" spans="1:9">
      <c r="A1592" t="str">
        <f>"0249470 "</f>
        <v xml:space="preserve">0249470 </v>
      </c>
      <c r="B1592" t="s">
        <v>5155</v>
      </c>
      <c r="C1592" t="s">
        <v>5263</v>
      </c>
      <c r="D1592" t="s">
        <v>5264</v>
      </c>
      <c r="E1592">
        <v>2</v>
      </c>
      <c r="F1592" t="s">
        <v>5265</v>
      </c>
      <c r="G1592" t="s">
        <v>5155</v>
      </c>
      <c r="H1592" t="s">
        <v>5263</v>
      </c>
      <c r="I1592" t="s">
        <v>5266</v>
      </c>
    </row>
    <row r="1593" spans="1:9">
      <c r="A1593" t="str">
        <f>"0249469 "</f>
        <v xml:space="preserve">0249469 </v>
      </c>
      <c r="B1593" t="s">
        <v>5155</v>
      </c>
      <c r="C1593" t="s">
        <v>5267</v>
      </c>
      <c r="D1593" t="s">
        <v>5268</v>
      </c>
      <c r="E1593">
        <v>2</v>
      </c>
      <c r="F1593" t="s">
        <v>5269</v>
      </c>
      <c r="G1593" t="s">
        <v>5155</v>
      </c>
      <c r="H1593" t="s">
        <v>5267</v>
      </c>
      <c r="I1593" t="s">
        <v>5266</v>
      </c>
    </row>
    <row r="1594" spans="1:9">
      <c r="A1594" t="str">
        <f>"0249475 "</f>
        <v xml:space="preserve">0249475 </v>
      </c>
      <c r="B1594" t="s">
        <v>5155</v>
      </c>
      <c r="C1594" t="s">
        <v>5270</v>
      </c>
      <c r="D1594" t="s">
        <v>5271</v>
      </c>
      <c r="E1594">
        <v>4</v>
      </c>
      <c r="F1594" t="s">
        <v>5272</v>
      </c>
      <c r="G1594" t="s">
        <v>5155</v>
      </c>
      <c r="H1594" t="s">
        <v>5270</v>
      </c>
      <c r="I1594" t="s">
        <v>5273</v>
      </c>
    </row>
    <row r="1595" spans="1:9">
      <c r="A1595" t="str">
        <f>"0249491 "</f>
        <v xml:space="preserve">0249491 </v>
      </c>
      <c r="B1595" t="s">
        <v>5155</v>
      </c>
      <c r="C1595" t="s">
        <v>5274</v>
      </c>
      <c r="D1595" t="s">
        <v>5275</v>
      </c>
      <c r="E1595">
        <v>1</v>
      </c>
      <c r="F1595" t="s">
        <v>5276</v>
      </c>
      <c r="G1595" t="s">
        <v>5155</v>
      </c>
      <c r="H1595" t="s">
        <v>5274</v>
      </c>
      <c r="I1595" t="s">
        <v>5277</v>
      </c>
    </row>
    <row r="1596" spans="1:9">
      <c r="A1596" t="str">
        <f>"0249493 "</f>
        <v xml:space="preserve">0249493 </v>
      </c>
      <c r="B1596" t="s">
        <v>5155</v>
      </c>
      <c r="C1596" t="s">
        <v>5278</v>
      </c>
      <c r="D1596" t="s">
        <v>5279</v>
      </c>
      <c r="E1596">
        <v>3</v>
      </c>
      <c r="F1596" t="s">
        <v>5280</v>
      </c>
      <c r="G1596" t="s">
        <v>5155</v>
      </c>
      <c r="H1596" t="s">
        <v>5278</v>
      </c>
      <c r="I1596" t="s">
        <v>5277</v>
      </c>
    </row>
    <row r="1597" spans="1:9">
      <c r="A1597" t="str">
        <f>"0249492 "</f>
        <v xml:space="preserve">0249492 </v>
      </c>
      <c r="B1597" t="s">
        <v>5155</v>
      </c>
      <c r="C1597" t="s">
        <v>5281</v>
      </c>
      <c r="D1597" t="s">
        <v>5282</v>
      </c>
      <c r="E1597" t="s">
        <v>20</v>
      </c>
      <c r="F1597" t="s">
        <v>5283</v>
      </c>
      <c r="G1597" t="s">
        <v>5155</v>
      </c>
      <c r="H1597" t="s">
        <v>5281</v>
      </c>
      <c r="I1597" t="s">
        <v>5277</v>
      </c>
    </row>
    <row r="1598" spans="1:9">
      <c r="A1598" t="str">
        <f>"0249496 "</f>
        <v xml:space="preserve">0249496 </v>
      </c>
      <c r="B1598" t="s">
        <v>5155</v>
      </c>
      <c r="C1598" t="s">
        <v>5284</v>
      </c>
      <c r="D1598" t="s">
        <v>5285</v>
      </c>
      <c r="E1598">
        <v>2</v>
      </c>
      <c r="F1598" t="s">
        <v>5286</v>
      </c>
      <c r="G1598" t="s">
        <v>5155</v>
      </c>
      <c r="H1598" t="s">
        <v>5284</v>
      </c>
      <c r="I1598" t="s">
        <v>5287</v>
      </c>
    </row>
    <row r="1599" spans="1:9">
      <c r="A1599" t="str">
        <f>"0249495 "</f>
        <v xml:space="preserve">0249495 </v>
      </c>
      <c r="B1599" t="s">
        <v>5155</v>
      </c>
      <c r="C1599" t="s">
        <v>5288</v>
      </c>
      <c r="D1599" t="s">
        <v>5289</v>
      </c>
      <c r="E1599">
        <v>1</v>
      </c>
      <c r="F1599" t="s">
        <v>5290</v>
      </c>
      <c r="G1599" t="s">
        <v>5155</v>
      </c>
      <c r="H1599" t="s">
        <v>5288</v>
      </c>
      <c r="I1599" t="s">
        <v>5287</v>
      </c>
    </row>
    <row r="1600" spans="1:9">
      <c r="A1600" t="str">
        <f>"0249494 "</f>
        <v xml:space="preserve">0249494 </v>
      </c>
      <c r="B1600" t="s">
        <v>5155</v>
      </c>
      <c r="C1600" t="s">
        <v>5291</v>
      </c>
      <c r="D1600" t="s">
        <v>5292</v>
      </c>
      <c r="E1600">
        <v>1</v>
      </c>
      <c r="F1600" t="s">
        <v>5293</v>
      </c>
      <c r="G1600" t="s">
        <v>5155</v>
      </c>
      <c r="H1600" t="s">
        <v>5291</v>
      </c>
      <c r="I1600" t="s">
        <v>5287</v>
      </c>
    </row>
    <row r="1601" spans="1:9">
      <c r="A1601" t="str">
        <f>"0249465 "</f>
        <v xml:space="preserve">0249465 </v>
      </c>
      <c r="B1601" t="s">
        <v>5155</v>
      </c>
      <c r="C1601" t="s">
        <v>5294</v>
      </c>
      <c r="D1601" t="s">
        <v>5295</v>
      </c>
      <c r="E1601">
        <v>2</v>
      </c>
      <c r="F1601" t="s">
        <v>5296</v>
      </c>
      <c r="G1601" t="s">
        <v>5155</v>
      </c>
      <c r="H1601" t="s">
        <v>5294</v>
      </c>
      <c r="I1601" t="s">
        <v>5297</v>
      </c>
    </row>
    <row r="1602" spans="1:9">
      <c r="A1602" t="str">
        <f>"0249464 "</f>
        <v xml:space="preserve">0249464 </v>
      </c>
      <c r="B1602" t="s">
        <v>5155</v>
      </c>
      <c r="C1602" t="s">
        <v>5298</v>
      </c>
      <c r="D1602" t="s">
        <v>5299</v>
      </c>
      <c r="E1602" t="s">
        <v>20</v>
      </c>
      <c r="F1602" t="s">
        <v>5300</v>
      </c>
      <c r="G1602" t="s">
        <v>5155</v>
      </c>
      <c r="H1602" t="s">
        <v>5298</v>
      </c>
      <c r="I1602" t="s">
        <v>5301</v>
      </c>
    </row>
    <row r="1603" spans="1:9">
      <c r="A1603" t="str">
        <f>"0249463 "</f>
        <v xml:space="preserve">0249463 </v>
      </c>
      <c r="B1603" t="s">
        <v>5155</v>
      </c>
      <c r="C1603" t="s">
        <v>5302</v>
      </c>
      <c r="D1603" t="s">
        <v>5303</v>
      </c>
      <c r="E1603" t="s">
        <v>20</v>
      </c>
      <c r="F1603" t="s">
        <v>5304</v>
      </c>
      <c r="G1603" t="s">
        <v>5155</v>
      </c>
      <c r="H1603" t="s">
        <v>5302</v>
      </c>
      <c r="I1603" t="s">
        <v>5301</v>
      </c>
    </row>
    <row r="1604" spans="1:9">
      <c r="A1604" t="str">
        <f>"0249478 "</f>
        <v xml:space="preserve">0249478 </v>
      </c>
      <c r="B1604" t="s">
        <v>5155</v>
      </c>
      <c r="C1604" t="s">
        <v>5305</v>
      </c>
      <c r="D1604" t="s">
        <v>5306</v>
      </c>
      <c r="E1604">
        <v>1</v>
      </c>
      <c r="F1604" t="s">
        <v>5307</v>
      </c>
      <c r="G1604" t="s">
        <v>5155</v>
      </c>
      <c r="H1604" t="s">
        <v>5305</v>
      </c>
      <c r="I1604" t="s">
        <v>5308</v>
      </c>
    </row>
    <row r="1605" spans="1:9">
      <c r="A1605" t="str">
        <f>"0249479 "</f>
        <v xml:space="preserve">0249479 </v>
      </c>
      <c r="B1605" t="s">
        <v>5155</v>
      </c>
      <c r="C1605" t="s">
        <v>5309</v>
      </c>
      <c r="D1605" t="s">
        <v>5310</v>
      </c>
      <c r="E1605">
        <v>2</v>
      </c>
      <c r="F1605" t="s">
        <v>5311</v>
      </c>
      <c r="G1605" t="s">
        <v>5155</v>
      </c>
      <c r="H1605" t="s">
        <v>5309</v>
      </c>
      <c r="I1605" t="s">
        <v>5308</v>
      </c>
    </row>
    <row r="1606" spans="1:9">
      <c r="A1606" t="str">
        <f>"0249480 "</f>
        <v xml:space="preserve">0249480 </v>
      </c>
      <c r="B1606" t="s">
        <v>5155</v>
      </c>
      <c r="C1606" t="s">
        <v>5312</v>
      </c>
      <c r="D1606" t="s">
        <v>5313</v>
      </c>
      <c r="E1606">
        <v>1</v>
      </c>
      <c r="F1606" t="s">
        <v>5314</v>
      </c>
      <c r="G1606" t="s">
        <v>5155</v>
      </c>
      <c r="H1606" t="s">
        <v>5312</v>
      </c>
      <c r="I1606" t="s">
        <v>5308</v>
      </c>
    </row>
    <row r="1607" spans="1:9">
      <c r="A1607" t="str">
        <f>"0249482 "</f>
        <v xml:space="preserve">0249482 </v>
      </c>
      <c r="B1607" t="s">
        <v>5155</v>
      </c>
      <c r="C1607" t="s">
        <v>5315</v>
      </c>
      <c r="D1607" t="s">
        <v>5316</v>
      </c>
      <c r="E1607">
        <v>1</v>
      </c>
      <c r="F1607" t="s">
        <v>5317</v>
      </c>
      <c r="G1607" t="s">
        <v>5155</v>
      </c>
      <c r="H1607" t="s">
        <v>5315</v>
      </c>
      <c r="I1607" t="s">
        <v>5308</v>
      </c>
    </row>
    <row r="1608" spans="1:9">
      <c r="A1608" t="str">
        <f>"0249481 "</f>
        <v xml:space="preserve">0249481 </v>
      </c>
      <c r="B1608" t="s">
        <v>5155</v>
      </c>
      <c r="C1608" t="s">
        <v>5318</v>
      </c>
      <c r="D1608" t="s">
        <v>5319</v>
      </c>
      <c r="E1608" t="s">
        <v>20</v>
      </c>
      <c r="F1608" t="s">
        <v>5320</v>
      </c>
      <c r="G1608" t="s">
        <v>5155</v>
      </c>
      <c r="H1608" t="s">
        <v>5318</v>
      </c>
      <c r="I1608" t="s">
        <v>5308</v>
      </c>
    </row>
    <row r="1609" spans="1:9">
      <c r="A1609" t="str">
        <f>"0249477 "</f>
        <v xml:space="preserve">0249477 </v>
      </c>
      <c r="B1609" t="s">
        <v>5155</v>
      </c>
      <c r="C1609" t="s">
        <v>5321</v>
      </c>
      <c r="D1609" t="s">
        <v>5322</v>
      </c>
      <c r="E1609">
        <v>5</v>
      </c>
      <c r="F1609" t="s">
        <v>5323</v>
      </c>
      <c r="G1609" t="s">
        <v>5155</v>
      </c>
      <c r="H1609" t="s">
        <v>5321</v>
      </c>
      <c r="I1609" t="s">
        <v>5324</v>
      </c>
    </row>
    <row r="1610" spans="1:9">
      <c r="A1610" t="str">
        <f>"0249476 "</f>
        <v xml:space="preserve">0249476 </v>
      </c>
      <c r="B1610" t="s">
        <v>5155</v>
      </c>
      <c r="C1610" t="s">
        <v>5325</v>
      </c>
      <c r="D1610" t="s">
        <v>5326</v>
      </c>
      <c r="E1610">
        <v>2</v>
      </c>
      <c r="F1610" t="s">
        <v>5327</v>
      </c>
      <c r="G1610" t="s">
        <v>5155</v>
      </c>
      <c r="H1610" t="s">
        <v>5325</v>
      </c>
      <c r="I1610" t="s">
        <v>5324</v>
      </c>
    </row>
    <row r="1611" spans="1:9">
      <c r="A1611" t="str">
        <f>"0249489 "</f>
        <v xml:space="preserve">0249489 </v>
      </c>
      <c r="B1611" t="s">
        <v>5155</v>
      </c>
      <c r="C1611" t="s">
        <v>5328</v>
      </c>
      <c r="D1611" t="s">
        <v>5329</v>
      </c>
      <c r="E1611" t="s">
        <v>20</v>
      </c>
      <c r="F1611" t="s">
        <v>5330</v>
      </c>
      <c r="G1611" t="s">
        <v>5155</v>
      </c>
      <c r="H1611" t="s">
        <v>5328</v>
      </c>
      <c r="I1611" t="s">
        <v>5331</v>
      </c>
    </row>
    <row r="1612" spans="1:9">
      <c r="A1612" t="str">
        <f>"0249488 "</f>
        <v xml:space="preserve">0249488 </v>
      </c>
      <c r="B1612" t="s">
        <v>5155</v>
      </c>
      <c r="C1612" t="s">
        <v>5332</v>
      </c>
      <c r="D1612" t="s">
        <v>5333</v>
      </c>
      <c r="E1612">
        <v>5</v>
      </c>
      <c r="F1612" t="s">
        <v>5334</v>
      </c>
      <c r="G1612" t="s">
        <v>5155</v>
      </c>
      <c r="H1612" t="s">
        <v>5332</v>
      </c>
      <c r="I1612" t="s">
        <v>5331</v>
      </c>
    </row>
    <row r="1613" spans="1:9">
      <c r="A1613" t="str">
        <f>"0249460 "</f>
        <v xml:space="preserve">0249460 </v>
      </c>
      <c r="B1613" t="s">
        <v>5155</v>
      </c>
      <c r="C1613" t="s">
        <v>5335</v>
      </c>
      <c r="D1613" t="s">
        <v>5336</v>
      </c>
      <c r="E1613">
        <v>5</v>
      </c>
      <c r="F1613" t="s">
        <v>5337</v>
      </c>
      <c r="G1613" t="s">
        <v>5155</v>
      </c>
      <c r="H1613" t="s">
        <v>5335</v>
      </c>
      <c r="I1613" t="s">
        <v>5338</v>
      </c>
    </row>
    <row r="1614" spans="1:9">
      <c r="A1614" t="str">
        <f>"0249455 "</f>
        <v xml:space="preserve">0249455 </v>
      </c>
      <c r="B1614" t="s">
        <v>5155</v>
      </c>
      <c r="C1614" t="s">
        <v>5339</v>
      </c>
      <c r="D1614" t="s">
        <v>5340</v>
      </c>
      <c r="E1614">
        <v>2</v>
      </c>
      <c r="F1614" t="s">
        <v>5341</v>
      </c>
      <c r="G1614" t="s">
        <v>5155</v>
      </c>
      <c r="H1614" t="s">
        <v>5339</v>
      </c>
      <c r="I1614" t="s">
        <v>5342</v>
      </c>
    </row>
    <row r="1615" spans="1:9">
      <c r="A1615" t="str">
        <f>"0249427 "</f>
        <v xml:space="preserve">0249427 </v>
      </c>
      <c r="B1615" t="s">
        <v>5155</v>
      </c>
      <c r="C1615" t="s">
        <v>5343</v>
      </c>
      <c r="D1615" t="s">
        <v>5344</v>
      </c>
      <c r="E1615">
        <v>4</v>
      </c>
      <c r="F1615" t="s">
        <v>5345</v>
      </c>
      <c r="G1615" t="s">
        <v>5155</v>
      </c>
      <c r="H1615" t="s">
        <v>5343</v>
      </c>
      <c r="I1615" t="s">
        <v>5346</v>
      </c>
    </row>
    <row r="1616" spans="1:9">
      <c r="A1616" t="str">
        <f>"0249428 "</f>
        <v xml:space="preserve">0249428 </v>
      </c>
      <c r="B1616" t="s">
        <v>5155</v>
      </c>
      <c r="C1616" t="s">
        <v>5347</v>
      </c>
      <c r="D1616" t="s">
        <v>5348</v>
      </c>
      <c r="E1616">
        <v>5</v>
      </c>
      <c r="F1616" t="s">
        <v>5349</v>
      </c>
      <c r="G1616" t="s">
        <v>5155</v>
      </c>
      <c r="H1616" t="s">
        <v>5347</v>
      </c>
      <c r="I1616" t="s">
        <v>5350</v>
      </c>
    </row>
    <row r="1617" spans="1:9">
      <c r="A1617" t="str">
        <f>"0249778 "</f>
        <v xml:space="preserve">0249778 </v>
      </c>
      <c r="B1617" t="s">
        <v>5155</v>
      </c>
      <c r="C1617" t="s">
        <v>5351</v>
      </c>
      <c r="D1617" t="s">
        <v>5352</v>
      </c>
      <c r="E1617">
        <v>2</v>
      </c>
      <c r="F1617" t="s">
        <v>5353</v>
      </c>
      <c r="G1617" t="s">
        <v>5155</v>
      </c>
      <c r="H1617" t="s">
        <v>5351</v>
      </c>
      <c r="I1617" t="s">
        <v>5354</v>
      </c>
    </row>
    <row r="1618" spans="1:9">
      <c r="A1618" t="str">
        <f>"0249430 "</f>
        <v xml:space="preserve">0249430 </v>
      </c>
      <c r="B1618" t="s">
        <v>5155</v>
      </c>
      <c r="C1618" t="s">
        <v>5355</v>
      </c>
      <c r="D1618" t="s">
        <v>5356</v>
      </c>
      <c r="E1618" t="s">
        <v>20</v>
      </c>
      <c r="F1618" t="s">
        <v>5357</v>
      </c>
      <c r="G1618" t="s">
        <v>5155</v>
      </c>
      <c r="H1618" t="s">
        <v>5355</v>
      </c>
      <c r="I1618" t="s">
        <v>5358</v>
      </c>
    </row>
    <row r="1619" spans="1:9">
      <c r="A1619" t="str">
        <f>"0249431 "</f>
        <v xml:space="preserve">0249431 </v>
      </c>
      <c r="B1619" t="s">
        <v>5155</v>
      </c>
      <c r="C1619" t="s">
        <v>5359</v>
      </c>
      <c r="D1619" t="s">
        <v>5360</v>
      </c>
      <c r="E1619" t="s">
        <v>20</v>
      </c>
      <c r="F1619" t="s">
        <v>5361</v>
      </c>
      <c r="G1619" t="s">
        <v>5155</v>
      </c>
      <c r="H1619" t="s">
        <v>5359</v>
      </c>
      <c r="I1619" t="s">
        <v>5362</v>
      </c>
    </row>
    <row r="1620" spans="1:9">
      <c r="A1620" t="str">
        <f>"0249432 "</f>
        <v xml:space="preserve">0249432 </v>
      </c>
      <c r="B1620" t="s">
        <v>5155</v>
      </c>
      <c r="C1620" t="s">
        <v>5363</v>
      </c>
      <c r="D1620" t="s">
        <v>5364</v>
      </c>
      <c r="E1620">
        <v>1</v>
      </c>
      <c r="F1620" t="s">
        <v>5365</v>
      </c>
      <c r="G1620" t="s">
        <v>5155</v>
      </c>
      <c r="H1620" t="s">
        <v>5363</v>
      </c>
      <c r="I1620" t="s">
        <v>5366</v>
      </c>
    </row>
    <row r="1621" spans="1:9">
      <c r="A1621" t="str">
        <f>"0249433 "</f>
        <v xml:space="preserve">0249433 </v>
      </c>
      <c r="B1621" t="s">
        <v>5155</v>
      </c>
      <c r="C1621" t="s">
        <v>5367</v>
      </c>
      <c r="D1621" t="s">
        <v>5368</v>
      </c>
      <c r="E1621" t="s">
        <v>20</v>
      </c>
      <c r="F1621" t="s">
        <v>5369</v>
      </c>
      <c r="G1621" t="s">
        <v>5155</v>
      </c>
      <c r="H1621" t="s">
        <v>5367</v>
      </c>
      <c r="I1621" t="s">
        <v>5366</v>
      </c>
    </row>
    <row r="1622" spans="1:9">
      <c r="A1622" t="str">
        <f>"0249429 "</f>
        <v xml:space="preserve">0249429 </v>
      </c>
      <c r="B1622" t="s">
        <v>5155</v>
      </c>
      <c r="C1622" t="s">
        <v>5370</v>
      </c>
      <c r="D1622" t="s">
        <v>5371</v>
      </c>
      <c r="E1622">
        <v>4</v>
      </c>
      <c r="F1622" t="s">
        <v>5372</v>
      </c>
      <c r="G1622" t="s">
        <v>5155</v>
      </c>
      <c r="H1622" t="s">
        <v>5370</v>
      </c>
      <c r="I1622" t="s">
        <v>5373</v>
      </c>
    </row>
    <row r="1623" spans="1:9">
      <c r="A1623" t="str">
        <f>"0249434 "</f>
        <v xml:space="preserve">0249434 </v>
      </c>
      <c r="B1623" t="s">
        <v>5155</v>
      </c>
      <c r="C1623" t="s">
        <v>5374</v>
      </c>
      <c r="D1623" t="s">
        <v>5375</v>
      </c>
      <c r="E1623">
        <v>4</v>
      </c>
      <c r="F1623" t="s">
        <v>5376</v>
      </c>
      <c r="G1623" t="s">
        <v>5155</v>
      </c>
      <c r="H1623" t="s">
        <v>5374</v>
      </c>
      <c r="I1623" t="s">
        <v>5377</v>
      </c>
    </row>
    <row r="1624" spans="1:9">
      <c r="A1624" t="str">
        <f>"0249435 "</f>
        <v xml:space="preserve">0249435 </v>
      </c>
      <c r="B1624" t="s">
        <v>5155</v>
      </c>
      <c r="C1624" t="s">
        <v>5378</v>
      </c>
      <c r="D1624" t="s">
        <v>5379</v>
      </c>
      <c r="E1624">
        <v>4</v>
      </c>
      <c r="F1624" t="s">
        <v>5380</v>
      </c>
      <c r="G1624" t="s">
        <v>5155</v>
      </c>
      <c r="H1624" t="s">
        <v>5378</v>
      </c>
      <c r="I1624" t="s">
        <v>5381</v>
      </c>
    </row>
    <row r="1625" spans="1:9">
      <c r="A1625" t="str">
        <f>"0249776 "</f>
        <v xml:space="preserve">0249776 </v>
      </c>
      <c r="B1625" t="s">
        <v>5155</v>
      </c>
      <c r="C1625" t="s">
        <v>5382</v>
      </c>
      <c r="D1625" t="s">
        <v>5383</v>
      </c>
      <c r="E1625">
        <v>1</v>
      </c>
      <c r="F1625" t="s">
        <v>5384</v>
      </c>
      <c r="G1625" t="s">
        <v>5155</v>
      </c>
      <c r="H1625" t="s">
        <v>5382</v>
      </c>
      <c r="I1625" t="s">
        <v>5381</v>
      </c>
    </row>
    <row r="1626" spans="1:9">
      <c r="A1626" t="str">
        <f>"0249436 "</f>
        <v xml:space="preserve">0249436 </v>
      </c>
      <c r="B1626" t="s">
        <v>5155</v>
      </c>
      <c r="C1626" t="s">
        <v>5385</v>
      </c>
      <c r="D1626" t="s">
        <v>5386</v>
      </c>
      <c r="E1626">
        <v>1</v>
      </c>
      <c r="F1626" t="s">
        <v>5387</v>
      </c>
      <c r="G1626" t="s">
        <v>5155</v>
      </c>
      <c r="H1626" t="s">
        <v>5385</v>
      </c>
      <c r="I1626" t="s">
        <v>5377</v>
      </c>
    </row>
    <row r="1627" spans="1:9">
      <c r="A1627" t="str">
        <f>"0249437 "</f>
        <v xml:space="preserve">0249437 </v>
      </c>
      <c r="B1627" t="s">
        <v>5155</v>
      </c>
      <c r="C1627" t="s">
        <v>5388</v>
      </c>
      <c r="D1627" t="s">
        <v>5389</v>
      </c>
      <c r="E1627">
        <v>5</v>
      </c>
      <c r="F1627" t="s">
        <v>5390</v>
      </c>
      <c r="G1627" t="s">
        <v>5155</v>
      </c>
      <c r="H1627" t="s">
        <v>5388</v>
      </c>
      <c r="I1627" t="s">
        <v>5391</v>
      </c>
    </row>
    <row r="1628" spans="1:9">
      <c r="A1628" t="str">
        <f>"0249438 "</f>
        <v xml:space="preserve">0249438 </v>
      </c>
      <c r="B1628" t="s">
        <v>5155</v>
      </c>
      <c r="C1628" t="s">
        <v>5392</v>
      </c>
      <c r="D1628" t="s">
        <v>5393</v>
      </c>
      <c r="E1628">
        <v>3</v>
      </c>
      <c r="F1628" t="s">
        <v>5394</v>
      </c>
      <c r="G1628" t="s">
        <v>5155</v>
      </c>
      <c r="H1628" t="s">
        <v>5392</v>
      </c>
      <c r="I1628" t="s">
        <v>5395</v>
      </c>
    </row>
    <row r="1629" spans="1:9">
      <c r="A1629" t="str">
        <f>"0249439 "</f>
        <v xml:space="preserve">0249439 </v>
      </c>
      <c r="B1629" t="s">
        <v>5155</v>
      </c>
      <c r="C1629" t="s">
        <v>5396</v>
      </c>
      <c r="D1629" t="s">
        <v>5397</v>
      </c>
      <c r="E1629">
        <v>1</v>
      </c>
      <c r="F1629" t="s">
        <v>5398</v>
      </c>
      <c r="G1629" t="s">
        <v>5155</v>
      </c>
      <c r="H1629" t="s">
        <v>5396</v>
      </c>
      <c r="I1629" t="s">
        <v>5399</v>
      </c>
    </row>
    <row r="1630" spans="1:9">
      <c r="A1630" t="str">
        <f>"0249443 "</f>
        <v xml:space="preserve">0249443 </v>
      </c>
      <c r="B1630" t="s">
        <v>5155</v>
      </c>
      <c r="C1630" t="s">
        <v>5400</v>
      </c>
      <c r="D1630" t="s">
        <v>5401</v>
      </c>
      <c r="E1630">
        <v>4</v>
      </c>
      <c r="F1630" t="s">
        <v>5402</v>
      </c>
      <c r="G1630" t="s">
        <v>5155</v>
      </c>
      <c r="H1630" t="s">
        <v>5400</v>
      </c>
      <c r="I1630" t="s">
        <v>5403</v>
      </c>
    </row>
    <row r="1631" spans="1:9">
      <c r="A1631" t="str">
        <f>"0249444 "</f>
        <v xml:space="preserve">0249444 </v>
      </c>
      <c r="B1631" t="s">
        <v>5155</v>
      </c>
      <c r="C1631" t="s">
        <v>5404</v>
      </c>
      <c r="D1631" t="s">
        <v>5405</v>
      </c>
      <c r="E1631">
        <v>2</v>
      </c>
      <c r="F1631" t="s">
        <v>5406</v>
      </c>
      <c r="G1631" t="s">
        <v>5155</v>
      </c>
      <c r="H1631" t="s">
        <v>5404</v>
      </c>
      <c r="I1631" t="s">
        <v>5403</v>
      </c>
    </row>
    <row r="1632" spans="1:9">
      <c r="A1632" t="str">
        <f>"0249441 "</f>
        <v xml:space="preserve">0249441 </v>
      </c>
      <c r="B1632" t="s">
        <v>5155</v>
      </c>
      <c r="C1632" t="s">
        <v>5407</v>
      </c>
      <c r="D1632" t="s">
        <v>5408</v>
      </c>
      <c r="E1632">
        <v>2</v>
      </c>
      <c r="F1632" t="s">
        <v>5409</v>
      </c>
      <c r="G1632" t="s">
        <v>5155</v>
      </c>
      <c r="H1632" t="s">
        <v>5407</v>
      </c>
      <c r="I1632" t="s">
        <v>5410</v>
      </c>
    </row>
    <row r="1633" spans="1:9">
      <c r="A1633" t="str">
        <f>"0249446 "</f>
        <v xml:space="preserve">0249446 </v>
      </c>
      <c r="B1633" t="s">
        <v>5155</v>
      </c>
      <c r="C1633" t="s">
        <v>5411</v>
      </c>
      <c r="D1633" t="s">
        <v>5412</v>
      </c>
      <c r="E1633">
        <v>4</v>
      </c>
      <c r="F1633" t="s">
        <v>5413</v>
      </c>
      <c r="G1633" t="s">
        <v>5155</v>
      </c>
      <c r="H1633" t="s">
        <v>5411</v>
      </c>
      <c r="I1633" t="s">
        <v>5414</v>
      </c>
    </row>
    <row r="1634" spans="1:9">
      <c r="A1634" t="str">
        <f>"0249447 "</f>
        <v xml:space="preserve">0249447 </v>
      </c>
      <c r="B1634" t="s">
        <v>5155</v>
      </c>
      <c r="C1634" t="s">
        <v>5415</v>
      </c>
      <c r="D1634" t="s">
        <v>5416</v>
      </c>
      <c r="E1634">
        <v>5</v>
      </c>
      <c r="F1634" t="s">
        <v>5409</v>
      </c>
      <c r="G1634" t="s">
        <v>5155</v>
      </c>
      <c r="H1634" t="s">
        <v>5415</v>
      </c>
      <c r="I1634" t="s">
        <v>5417</v>
      </c>
    </row>
    <row r="1635" spans="1:9">
      <c r="A1635" t="str">
        <f>"0249448 "</f>
        <v xml:space="preserve">0249448 </v>
      </c>
      <c r="B1635" t="s">
        <v>5155</v>
      </c>
      <c r="C1635" t="s">
        <v>5418</v>
      </c>
      <c r="D1635" t="s">
        <v>5419</v>
      </c>
      <c r="E1635">
        <v>4</v>
      </c>
      <c r="F1635" t="s">
        <v>5420</v>
      </c>
      <c r="G1635" t="s">
        <v>5155</v>
      </c>
      <c r="H1635" t="s">
        <v>5418</v>
      </c>
      <c r="I1635" t="s">
        <v>5421</v>
      </c>
    </row>
    <row r="1636" spans="1:9">
      <c r="A1636" t="str">
        <f>"0249449 "</f>
        <v xml:space="preserve">0249449 </v>
      </c>
      <c r="B1636" t="s">
        <v>5155</v>
      </c>
      <c r="C1636" t="s">
        <v>5422</v>
      </c>
      <c r="D1636" t="s">
        <v>5423</v>
      </c>
      <c r="E1636">
        <v>4</v>
      </c>
      <c r="F1636" t="s">
        <v>5424</v>
      </c>
      <c r="G1636" t="s">
        <v>5155</v>
      </c>
      <c r="H1636" t="s">
        <v>5422</v>
      </c>
      <c r="I1636" t="s">
        <v>5421</v>
      </c>
    </row>
    <row r="1637" spans="1:9">
      <c r="A1637" t="str">
        <f>"0249534 "</f>
        <v xml:space="preserve">0249534 </v>
      </c>
      <c r="B1637" t="s">
        <v>5155</v>
      </c>
      <c r="C1637" t="s">
        <v>5425</v>
      </c>
      <c r="D1637" t="s">
        <v>5426</v>
      </c>
      <c r="E1637">
        <v>4</v>
      </c>
      <c r="F1637" t="s">
        <v>5427</v>
      </c>
      <c r="G1637" t="s">
        <v>5155</v>
      </c>
      <c r="H1637" t="s">
        <v>5425</v>
      </c>
      <c r="I1637" t="s">
        <v>5428</v>
      </c>
    </row>
    <row r="1638" spans="1:9">
      <c r="A1638" t="str">
        <f>"0249540 "</f>
        <v xml:space="preserve">0249540 </v>
      </c>
      <c r="B1638" t="s">
        <v>5155</v>
      </c>
      <c r="C1638" t="s">
        <v>5429</v>
      </c>
      <c r="D1638" t="s">
        <v>5430</v>
      </c>
      <c r="E1638" t="s">
        <v>20</v>
      </c>
      <c r="F1638" t="s">
        <v>5431</v>
      </c>
      <c r="G1638" t="s">
        <v>5155</v>
      </c>
      <c r="H1638" t="s">
        <v>5429</v>
      </c>
      <c r="I1638" t="s">
        <v>5432</v>
      </c>
    </row>
    <row r="1639" spans="1:9">
      <c r="A1639" t="str">
        <f>"0249535 "</f>
        <v xml:space="preserve">0249535 </v>
      </c>
      <c r="B1639" t="s">
        <v>5155</v>
      </c>
      <c r="C1639" t="s">
        <v>5433</v>
      </c>
      <c r="D1639" t="s">
        <v>5434</v>
      </c>
      <c r="E1639" t="s">
        <v>20</v>
      </c>
      <c r="F1639" t="s">
        <v>5435</v>
      </c>
      <c r="G1639" t="s">
        <v>5155</v>
      </c>
      <c r="H1639" t="s">
        <v>5433</v>
      </c>
      <c r="I1639" t="s">
        <v>5436</v>
      </c>
    </row>
    <row r="1640" spans="1:9">
      <c r="A1640" t="str">
        <f>"0249536 "</f>
        <v xml:space="preserve">0249536 </v>
      </c>
      <c r="B1640" t="s">
        <v>5155</v>
      </c>
      <c r="C1640" t="s">
        <v>5437</v>
      </c>
      <c r="D1640" t="s">
        <v>5438</v>
      </c>
      <c r="E1640">
        <v>2</v>
      </c>
      <c r="F1640" t="s">
        <v>5439</v>
      </c>
      <c r="G1640" t="s">
        <v>5155</v>
      </c>
      <c r="H1640" t="s">
        <v>5437</v>
      </c>
      <c r="I1640" t="s">
        <v>5436</v>
      </c>
    </row>
    <row r="1641" spans="1:9">
      <c r="A1641" t="str">
        <f>"0249538 "</f>
        <v xml:space="preserve">0249538 </v>
      </c>
      <c r="B1641" t="s">
        <v>5155</v>
      </c>
      <c r="C1641" t="s">
        <v>5440</v>
      </c>
      <c r="D1641" t="s">
        <v>5441</v>
      </c>
      <c r="E1641" t="s">
        <v>20</v>
      </c>
      <c r="F1641" t="s">
        <v>5442</v>
      </c>
      <c r="G1641" t="s">
        <v>5155</v>
      </c>
      <c r="H1641" t="s">
        <v>5440</v>
      </c>
      <c r="I1641" t="s">
        <v>5443</v>
      </c>
    </row>
    <row r="1642" spans="1:9">
      <c r="A1642" t="str">
        <f>"0249539 "</f>
        <v xml:space="preserve">0249539 </v>
      </c>
      <c r="B1642" t="s">
        <v>5155</v>
      </c>
      <c r="C1642" t="s">
        <v>5444</v>
      </c>
      <c r="D1642" t="s">
        <v>5445</v>
      </c>
      <c r="E1642">
        <v>4</v>
      </c>
      <c r="F1642" t="s">
        <v>5446</v>
      </c>
      <c r="G1642" t="s">
        <v>5155</v>
      </c>
      <c r="H1642" t="s">
        <v>5444</v>
      </c>
      <c r="I1642" t="s">
        <v>5447</v>
      </c>
    </row>
    <row r="1643" spans="1:9">
      <c r="A1643" t="str">
        <f>"0249537 "</f>
        <v xml:space="preserve">0249537 </v>
      </c>
      <c r="B1643" t="s">
        <v>5155</v>
      </c>
      <c r="C1643" t="s">
        <v>5448</v>
      </c>
      <c r="D1643" t="s">
        <v>5449</v>
      </c>
      <c r="E1643">
        <v>2</v>
      </c>
      <c r="F1643" t="s">
        <v>5450</v>
      </c>
      <c r="G1643" t="s">
        <v>5155</v>
      </c>
      <c r="H1643" t="s">
        <v>5448</v>
      </c>
      <c r="I1643" t="s">
        <v>5451</v>
      </c>
    </row>
    <row r="1644" spans="1:9">
      <c r="A1644" t="str">
        <f>"0249450 "</f>
        <v xml:space="preserve">0249450 </v>
      </c>
      <c r="B1644" t="s">
        <v>5155</v>
      </c>
      <c r="C1644" t="s">
        <v>5452</v>
      </c>
      <c r="D1644" t="s">
        <v>5453</v>
      </c>
      <c r="E1644">
        <v>2</v>
      </c>
      <c r="F1644" t="s">
        <v>5454</v>
      </c>
      <c r="G1644" t="s">
        <v>5155</v>
      </c>
      <c r="H1644" t="s">
        <v>5452</v>
      </c>
      <c r="I1644" t="s">
        <v>5455</v>
      </c>
    </row>
    <row r="1645" spans="1:9">
      <c r="A1645" t="str">
        <f>"0249541 "</f>
        <v xml:space="preserve">0249541 </v>
      </c>
      <c r="B1645" t="s">
        <v>5155</v>
      </c>
      <c r="C1645" t="s">
        <v>5456</v>
      </c>
      <c r="D1645" t="s">
        <v>5457</v>
      </c>
      <c r="E1645">
        <v>4</v>
      </c>
      <c r="F1645" t="s">
        <v>5458</v>
      </c>
      <c r="G1645" t="s">
        <v>5155</v>
      </c>
      <c r="H1645" t="s">
        <v>5456</v>
      </c>
      <c r="I1645" t="s">
        <v>5459</v>
      </c>
    </row>
    <row r="1646" spans="1:9">
      <c r="A1646" t="str">
        <f>"0018551 "</f>
        <v xml:space="preserve">0018551 </v>
      </c>
      <c r="B1646" t="s">
        <v>5460</v>
      </c>
      <c r="C1646" t="str">
        <f>"0018551"</f>
        <v>0018551</v>
      </c>
      <c r="D1646" t="s">
        <v>5461</v>
      </c>
      <c r="E1646" t="s">
        <v>20</v>
      </c>
      <c r="F1646" t="s">
        <v>5462</v>
      </c>
      <c r="G1646" t="s">
        <v>5460</v>
      </c>
      <c r="H1646" t="str">
        <f>"0018551"</f>
        <v>0018551</v>
      </c>
    </row>
    <row r="1647" spans="1:9">
      <c r="A1647" t="str">
        <f>"0018903 "</f>
        <v xml:space="preserve">0018903 </v>
      </c>
      <c r="B1647" t="s">
        <v>5460</v>
      </c>
      <c r="C1647" t="str">
        <f>"0018903"</f>
        <v>0018903</v>
      </c>
      <c r="D1647" t="s">
        <v>5463</v>
      </c>
      <c r="E1647" t="s">
        <v>20</v>
      </c>
      <c r="F1647" t="s">
        <v>5464</v>
      </c>
      <c r="G1647" t="s">
        <v>5460</v>
      </c>
      <c r="H1647" t="str">
        <f>"0018903"</f>
        <v>0018903</v>
      </c>
    </row>
    <row r="1648" spans="1:9">
      <c r="A1648" t="str">
        <f>"0019077 "</f>
        <v xml:space="preserve">0019077 </v>
      </c>
      <c r="B1648" t="s">
        <v>5460</v>
      </c>
      <c r="C1648" t="str">
        <f>"0019077"</f>
        <v>0019077</v>
      </c>
      <c r="D1648" t="s">
        <v>5465</v>
      </c>
      <c r="E1648" t="s">
        <v>20</v>
      </c>
      <c r="F1648" t="s">
        <v>5466</v>
      </c>
      <c r="G1648" t="s">
        <v>5460</v>
      </c>
      <c r="H1648" t="str">
        <f>"0019077"</f>
        <v>0019077</v>
      </c>
    </row>
    <row r="1649" spans="1:8">
      <c r="A1649" t="str">
        <f>"0019122 "</f>
        <v xml:space="preserve">0019122 </v>
      </c>
      <c r="B1649" t="s">
        <v>5460</v>
      </c>
      <c r="C1649" t="str">
        <f>"0019122"</f>
        <v>0019122</v>
      </c>
      <c r="D1649" t="s">
        <v>5467</v>
      </c>
      <c r="E1649" t="s">
        <v>20</v>
      </c>
      <c r="F1649" t="s">
        <v>5468</v>
      </c>
      <c r="G1649" t="s">
        <v>5460</v>
      </c>
      <c r="H1649" t="str">
        <f>"0019122"</f>
        <v>0019122</v>
      </c>
    </row>
    <row r="1650" spans="1:8">
      <c r="A1650" t="str">
        <f>"0019124 "</f>
        <v xml:space="preserve">0019124 </v>
      </c>
      <c r="B1650" t="s">
        <v>5460</v>
      </c>
      <c r="C1650" t="str">
        <f>"0019124"</f>
        <v>0019124</v>
      </c>
      <c r="D1650" t="s">
        <v>5469</v>
      </c>
      <c r="E1650" t="s">
        <v>20</v>
      </c>
      <c r="F1650" t="s">
        <v>5470</v>
      </c>
      <c r="G1650" t="s">
        <v>5460</v>
      </c>
      <c r="H1650" t="str">
        <f>"0019124"</f>
        <v>0019124</v>
      </c>
    </row>
    <row r="1651" spans="1:8">
      <c r="A1651" t="str">
        <f>"0019157 "</f>
        <v xml:space="preserve">0019157 </v>
      </c>
      <c r="B1651" t="s">
        <v>5460</v>
      </c>
      <c r="C1651" t="str">
        <f>"0019157"</f>
        <v>0019157</v>
      </c>
      <c r="D1651" t="s">
        <v>5471</v>
      </c>
      <c r="E1651" t="s">
        <v>20</v>
      </c>
      <c r="F1651" t="s">
        <v>5466</v>
      </c>
      <c r="G1651" t="s">
        <v>5460</v>
      </c>
      <c r="H1651" t="str">
        <f>"0019157"</f>
        <v>0019157</v>
      </c>
    </row>
    <row r="1652" spans="1:8">
      <c r="A1652" t="str">
        <f>"0021137 "</f>
        <v xml:space="preserve">0021137 </v>
      </c>
      <c r="B1652" t="s">
        <v>5460</v>
      </c>
      <c r="C1652" t="str">
        <f>"0021137"</f>
        <v>0021137</v>
      </c>
      <c r="D1652" t="s">
        <v>5472</v>
      </c>
      <c r="E1652" t="s">
        <v>20</v>
      </c>
      <c r="F1652" t="s">
        <v>5464</v>
      </c>
      <c r="G1652" t="s">
        <v>5460</v>
      </c>
      <c r="H1652" t="str">
        <f>"0021137"</f>
        <v>0021137</v>
      </c>
    </row>
    <row r="1653" spans="1:8">
      <c r="A1653" t="str">
        <f>"0021138 "</f>
        <v xml:space="preserve">0021138 </v>
      </c>
      <c r="B1653" t="s">
        <v>5460</v>
      </c>
      <c r="C1653" t="str">
        <f>"0021138"</f>
        <v>0021138</v>
      </c>
      <c r="D1653" t="s">
        <v>5473</v>
      </c>
      <c r="E1653" t="s">
        <v>20</v>
      </c>
      <c r="F1653" t="s">
        <v>5462</v>
      </c>
      <c r="G1653" t="s">
        <v>5460</v>
      </c>
      <c r="H1653" t="str">
        <f>"0021138"</f>
        <v>0021138</v>
      </c>
    </row>
    <row r="1654" spans="1:8">
      <c r="A1654" t="str">
        <f>"0039081 "</f>
        <v xml:space="preserve">0039081 </v>
      </c>
      <c r="B1654" t="s">
        <v>5460</v>
      </c>
      <c r="C1654" t="str">
        <f>"0039081"</f>
        <v>0039081</v>
      </c>
      <c r="D1654" t="s">
        <v>5474</v>
      </c>
      <c r="E1654" t="s">
        <v>20</v>
      </c>
      <c r="F1654" t="s">
        <v>5475</v>
      </c>
      <c r="G1654" t="s">
        <v>5460</v>
      </c>
      <c r="H1654" t="str">
        <f>"0039081"</f>
        <v>0039081</v>
      </c>
    </row>
    <row r="1655" spans="1:8">
      <c r="A1655" t="str">
        <f>"0039130 "</f>
        <v xml:space="preserve">0039130 </v>
      </c>
      <c r="B1655" t="s">
        <v>5460</v>
      </c>
      <c r="C1655" t="str">
        <f>"0039130"</f>
        <v>0039130</v>
      </c>
      <c r="D1655" t="s">
        <v>5476</v>
      </c>
      <c r="E1655" t="s">
        <v>20</v>
      </c>
      <c r="F1655" t="s">
        <v>5477</v>
      </c>
      <c r="G1655" t="s">
        <v>5460</v>
      </c>
      <c r="H1655" t="str">
        <f>"0039130"</f>
        <v>0039130</v>
      </c>
    </row>
    <row r="1656" spans="1:8">
      <c r="A1656" t="str">
        <f>"0204292 "</f>
        <v xml:space="preserve">0204292 </v>
      </c>
      <c r="B1656" t="s">
        <v>5460</v>
      </c>
      <c r="C1656" t="str">
        <f>"0204292"</f>
        <v>0204292</v>
      </c>
      <c r="D1656" t="s">
        <v>5478</v>
      </c>
      <c r="E1656" t="s">
        <v>20</v>
      </c>
      <c r="F1656" t="s">
        <v>5479</v>
      </c>
      <c r="G1656" t="s">
        <v>5460</v>
      </c>
      <c r="H1656" t="str">
        <f>"0204292"</f>
        <v>0204292</v>
      </c>
    </row>
    <row r="1657" spans="1:8">
      <c r="A1657" t="str">
        <f>"0204293 "</f>
        <v xml:space="preserve">0204293 </v>
      </c>
      <c r="B1657" t="s">
        <v>5460</v>
      </c>
      <c r="C1657" t="str">
        <f>"0204293"</f>
        <v>0204293</v>
      </c>
      <c r="D1657" t="s">
        <v>5480</v>
      </c>
      <c r="E1657" t="s">
        <v>20</v>
      </c>
      <c r="F1657" t="s">
        <v>5481</v>
      </c>
      <c r="G1657" t="s">
        <v>5460</v>
      </c>
      <c r="H1657" t="str">
        <f>"0204293"</f>
        <v>0204293</v>
      </c>
    </row>
    <row r="1658" spans="1:8">
      <c r="A1658" t="str">
        <f>"0153345 "</f>
        <v xml:space="preserve">0153345 </v>
      </c>
      <c r="B1658" t="s">
        <v>5482</v>
      </c>
      <c r="C1658">
        <v>156812</v>
      </c>
      <c r="D1658" t="s">
        <v>5483</v>
      </c>
      <c r="E1658">
        <v>5</v>
      </c>
      <c r="F1658" t="s">
        <v>5484</v>
      </c>
      <c r="G1658" t="s">
        <v>5482</v>
      </c>
      <c r="H1658">
        <v>156812</v>
      </c>
    </row>
    <row r="1659" spans="1:8">
      <c r="A1659" t="str">
        <f>"0020985 "</f>
        <v xml:space="preserve">0020985 </v>
      </c>
      <c r="B1659" t="s">
        <v>5482</v>
      </c>
      <c r="C1659">
        <v>157103</v>
      </c>
      <c r="D1659" t="s">
        <v>5485</v>
      </c>
      <c r="E1659">
        <v>3</v>
      </c>
      <c r="F1659" t="s">
        <v>5486</v>
      </c>
      <c r="G1659" t="s">
        <v>5482</v>
      </c>
      <c r="H1659">
        <v>157103</v>
      </c>
    </row>
    <row r="1660" spans="1:8">
      <c r="A1660" t="str">
        <f>"0153344 "</f>
        <v xml:space="preserve">0153344 </v>
      </c>
      <c r="B1660" t="s">
        <v>5482</v>
      </c>
      <c r="C1660">
        <v>166245</v>
      </c>
      <c r="D1660" t="s">
        <v>5487</v>
      </c>
      <c r="E1660" t="s">
        <v>20</v>
      </c>
      <c r="F1660" t="s">
        <v>5488</v>
      </c>
      <c r="G1660" t="s">
        <v>5482</v>
      </c>
      <c r="H1660">
        <v>166245</v>
      </c>
    </row>
    <row r="1661" spans="1:8">
      <c r="A1661" t="str">
        <f>"0020983 "</f>
        <v xml:space="preserve">0020983 </v>
      </c>
      <c r="B1661" t="s">
        <v>5482</v>
      </c>
      <c r="C1661">
        <v>166254</v>
      </c>
      <c r="D1661" t="s">
        <v>5489</v>
      </c>
      <c r="E1661">
        <v>3</v>
      </c>
      <c r="F1661" t="s">
        <v>5490</v>
      </c>
      <c r="G1661" t="s">
        <v>5482</v>
      </c>
      <c r="H1661">
        <v>166254</v>
      </c>
    </row>
    <row r="1662" spans="1:8">
      <c r="A1662" t="str">
        <f>"0211854 "</f>
        <v xml:space="preserve">0211854 </v>
      </c>
      <c r="B1662" t="s">
        <v>5482</v>
      </c>
      <c r="C1662">
        <v>170323</v>
      </c>
      <c r="D1662" t="s">
        <v>5491</v>
      </c>
      <c r="E1662" t="s">
        <v>20</v>
      </c>
      <c r="F1662" t="s">
        <v>5492</v>
      </c>
      <c r="G1662" t="s">
        <v>5482</v>
      </c>
      <c r="H1662">
        <v>170323</v>
      </c>
    </row>
    <row r="1663" spans="1:8">
      <c r="A1663" t="str">
        <f>"0203905 "</f>
        <v xml:space="preserve">0203905 </v>
      </c>
      <c r="B1663" t="s">
        <v>5482</v>
      </c>
      <c r="C1663">
        <v>181711</v>
      </c>
      <c r="D1663" t="s">
        <v>5493</v>
      </c>
      <c r="E1663">
        <v>3</v>
      </c>
      <c r="F1663" t="s">
        <v>5494</v>
      </c>
      <c r="G1663" t="s">
        <v>5482</v>
      </c>
      <c r="H1663">
        <v>181711</v>
      </c>
    </row>
    <row r="1664" spans="1:8">
      <c r="A1664" t="str">
        <f>"0201904 "</f>
        <v xml:space="preserve">0201904 </v>
      </c>
      <c r="B1664" t="s">
        <v>5482</v>
      </c>
      <c r="C1664">
        <v>181712</v>
      </c>
      <c r="D1664" t="s">
        <v>5495</v>
      </c>
      <c r="E1664">
        <v>5</v>
      </c>
      <c r="F1664" t="s">
        <v>5496</v>
      </c>
      <c r="G1664" t="s">
        <v>5482</v>
      </c>
      <c r="H1664">
        <v>181712</v>
      </c>
    </row>
    <row r="1665" spans="1:8">
      <c r="A1665" t="str">
        <f>"0020991 "</f>
        <v xml:space="preserve">0020991 </v>
      </c>
      <c r="B1665" t="s">
        <v>5482</v>
      </c>
      <c r="C1665">
        <v>201524</v>
      </c>
      <c r="D1665" t="s">
        <v>5497</v>
      </c>
      <c r="E1665" t="s">
        <v>20</v>
      </c>
      <c r="F1665" t="s">
        <v>5498</v>
      </c>
      <c r="G1665" t="s">
        <v>5482</v>
      </c>
      <c r="H1665">
        <v>201524</v>
      </c>
    </row>
    <row r="1666" spans="1:8">
      <c r="A1666" t="str">
        <f>"0020992 "</f>
        <v xml:space="preserve">0020992 </v>
      </c>
      <c r="B1666" t="s">
        <v>5482</v>
      </c>
      <c r="C1666">
        <v>201534</v>
      </c>
      <c r="D1666" t="s">
        <v>5499</v>
      </c>
      <c r="E1666">
        <v>3</v>
      </c>
      <c r="F1666" t="s">
        <v>5500</v>
      </c>
      <c r="G1666" t="s">
        <v>5482</v>
      </c>
      <c r="H1666">
        <v>201534</v>
      </c>
    </row>
    <row r="1667" spans="1:8">
      <c r="A1667" t="str">
        <f>"0156907 "</f>
        <v xml:space="preserve">0156907 </v>
      </c>
      <c r="B1667" t="s">
        <v>5482</v>
      </c>
      <c r="C1667">
        <v>201535</v>
      </c>
      <c r="D1667" t="s">
        <v>5501</v>
      </c>
      <c r="E1667">
        <v>3</v>
      </c>
      <c r="F1667" t="s">
        <v>5502</v>
      </c>
      <c r="G1667" t="s">
        <v>5482</v>
      </c>
      <c r="H1667">
        <v>201535</v>
      </c>
    </row>
    <row r="1668" spans="1:8">
      <c r="A1668" t="str">
        <f>"0156908 "</f>
        <v xml:space="preserve">0156908 </v>
      </c>
      <c r="B1668" t="s">
        <v>5482</v>
      </c>
      <c r="C1668">
        <v>201536</v>
      </c>
      <c r="D1668" t="s">
        <v>5503</v>
      </c>
      <c r="E1668">
        <v>3</v>
      </c>
      <c r="F1668" t="s">
        <v>5504</v>
      </c>
      <c r="G1668" t="s">
        <v>5482</v>
      </c>
      <c r="H1668">
        <v>201536</v>
      </c>
    </row>
    <row r="1669" spans="1:8">
      <c r="A1669" t="str">
        <f>"0159280 "</f>
        <v xml:space="preserve">0159280 </v>
      </c>
      <c r="B1669" t="s">
        <v>5482</v>
      </c>
      <c r="C1669">
        <v>201537</v>
      </c>
      <c r="D1669" t="s">
        <v>5505</v>
      </c>
      <c r="E1669">
        <v>3</v>
      </c>
      <c r="F1669" t="s">
        <v>5506</v>
      </c>
      <c r="G1669" t="s">
        <v>5482</v>
      </c>
      <c r="H1669">
        <v>201537</v>
      </c>
    </row>
    <row r="1670" spans="1:8">
      <c r="A1670" t="str">
        <f>"0218045 "</f>
        <v xml:space="preserve">0218045 </v>
      </c>
      <c r="B1670" t="s">
        <v>5507</v>
      </c>
      <c r="D1670" t="s">
        <v>5508</v>
      </c>
      <c r="E1670" t="s">
        <v>20</v>
      </c>
      <c r="F1670" t="s">
        <v>5509</v>
      </c>
      <c r="G1670" t="s">
        <v>5507</v>
      </c>
    </row>
    <row r="1671" spans="1:8">
      <c r="A1671" t="str">
        <f>"0162816 "</f>
        <v xml:space="preserve">0162816 </v>
      </c>
      <c r="B1671" t="s">
        <v>5507</v>
      </c>
      <c r="C1671" t="str">
        <f>"0162816"</f>
        <v>0162816</v>
      </c>
      <c r="D1671" t="s">
        <v>5510</v>
      </c>
      <c r="E1671" t="s">
        <v>20</v>
      </c>
      <c r="F1671" t="s">
        <v>5511</v>
      </c>
      <c r="G1671" t="s">
        <v>5507</v>
      </c>
      <c r="H1671" t="str">
        <f>"0162816"</f>
        <v>0162816</v>
      </c>
    </row>
    <row r="1672" spans="1:8">
      <c r="A1672" t="str">
        <f>"0162827 "</f>
        <v xml:space="preserve">0162827 </v>
      </c>
      <c r="B1672" t="s">
        <v>5507</v>
      </c>
      <c r="C1672" t="str">
        <f>"0162827"</f>
        <v>0162827</v>
      </c>
      <c r="D1672" t="s">
        <v>5512</v>
      </c>
      <c r="E1672" t="s">
        <v>20</v>
      </c>
      <c r="F1672" t="s">
        <v>5513</v>
      </c>
      <c r="G1672" t="s">
        <v>5507</v>
      </c>
      <c r="H1672" t="str">
        <f>"0162827"</f>
        <v>0162827</v>
      </c>
    </row>
    <row r="1673" spans="1:8">
      <c r="A1673" t="str">
        <f>"0162830 "</f>
        <v xml:space="preserve">0162830 </v>
      </c>
      <c r="B1673" t="s">
        <v>5507</v>
      </c>
      <c r="C1673" t="str">
        <f>"0162830"</f>
        <v>0162830</v>
      </c>
      <c r="D1673" t="s">
        <v>5514</v>
      </c>
      <c r="E1673">
        <v>4</v>
      </c>
      <c r="F1673" t="s">
        <v>5515</v>
      </c>
      <c r="G1673" t="s">
        <v>5507</v>
      </c>
      <c r="H1673" t="str">
        <f>"0162830"</f>
        <v>0162830</v>
      </c>
    </row>
    <row r="1674" spans="1:8">
      <c r="A1674" t="str">
        <f>"0162831 "</f>
        <v xml:space="preserve">0162831 </v>
      </c>
      <c r="B1674" t="s">
        <v>5507</v>
      </c>
      <c r="C1674" t="str">
        <f>"0162831"</f>
        <v>0162831</v>
      </c>
      <c r="D1674" t="s">
        <v>5516</v>
      </c>
      <c r="E1674">
        <v>4</v>
      </c>
      <c r="F1674" t="s">
        <v>5517</v>
      </c>
      <c r="G1674" t="s">
        <v>5507</v>
      </c>
      <c r="H1674" t="str">
        <f>"0162831"</f>
        <v>0162831</v>
      </c>
    </row>
    <row r="1675" spans="1:8">
      <c r="A1675" t="str">
        <f>"0162832 "</f>
        <v xml:space="preserve">0162832 </v>
      </c>
      <c r="B1675" t="s">
        <v>5507</v>
      </c>
      <c r="C1675" t="str">
        <f>"0162832"</f>
        <v>0162832</v>
      </c>
      <c r="D1675" t="s">
        <v>5518</v>
      </c>
      <c r="E1675">
        <v>4</v>
      </c>
      <c r="F1675" t="s">
        <v>5519</v>
      </c>
      <c r="G1675" t="s">
        <v>5507</v>
      </c>
      <c r="H1675" t="str">
        <f>"0162832"</f>
        <v>0162832</v>
      </c>
    </row>
    <row r="1676" spans="1:8">
      <c r="A1676" t="str">
        <f>"0162833 "</f>
        <v xml:space="preserve">0162833 </v>
      </c>
      <c r="B1676" t="s">
        <v>5507</v>
      </c>
      <c r="C1676" t="str">
        <f>"0162833"</f>
        <v>0162833</v>
      </c>
      <c r="D1676" t="s">
        <v>5520</v>
      </c>
      <c r="E1676" t="s">
        <v>20</v>
      </c>
      <c r="F1676" t="s">
        <v>5521</v>
      </c>
      <c r="G1676" t="s">
        <v>5507</v>
      </c>
      <c r="H1676" t="str">
        <f>"0162833"</f>
        <v>0162833</v>
      </c>
    </row>
    <row r="1677" spans="1:8">
      <c r="A1677" t="str">
        <f>"0162834 "</f>
        <v xml:space="preserve">0162834 </v>
      </c>
      <c r="B1677" t="s">
        <v>5507</v>
      </c>
      <c r="C1677" t="str">
        <f>"0162834"</f>
        <v>0162834</v>
      </c>
      <c r="D1677" t="s">
        <v>5522</v>
      </c>
      <c r="E1677">
        <v>3</v>
      </c>
      <c r="F1677" t="s">
        <v>5523</v>
      </c>
      <c r="G1677" t="s">
        <v>5507</v>
      </c>
      <c r="H1677" t="str">
        <f>"0162834"</f>
        <v>0162834</v>
      </c>
    </row>
    <row r="1678" spans="1:8">
      <c r="A1678" t="str">
        <f>"0162836 "</f>
        <v xml:space="preserve">0162836 </v>
      </c>
      <c r="B1678" t="s">
        <v>5507</v>
      </c>
      <c r="C1678" t="str">
        <f>"0162836"</f>
        <v>0162836</v>
      </c>
      <c r="D1678" t="s">
        <v>5524</v>
      </c>
      <c r="E1678">
        <v>2</v>
      </c>
      <c r="F1678" t="s">
        <v>5525</v>
      </c>
      <c r="G1678" t="s">
        <v>5507</v>
      </c>
      <c r="H1678" t="str">
        <f>"0162836"</f>
        <v>0162836</v>
      </c>
    </row>
    <row r="1679" spans="1:8">
      <c r="A1679" t="str">
        <f>"0162838 "</f>
        <v xml:space="preserve">0162838 </v>
      </c>
      <c r="B1679" t="s">
        <v>5507</v>
      </c>
      <c r="C1679" t="str">
        <f>"0162838"</f>
        <v>0162838</v>
      </c>
      <c r="D1679" t="s">
        <v>5526</v>
      </c>
      <c r="E1679" t="s">
        <v>20</v>
      </c>
      <c r="F1679" t="s">
        <v>5527</v>
      </c>
      <c r="G1679" t="s">
        <v>5507</v>
      </c>
      <c r="H1679" t="str">
        <f>"0162838"</f>
        <v>0162838</v>
      </c>
    </row>
    <row r="1680" spans="1:8">
      <c r="A1680" t="str">
        <f>"0162839 "</f>
        <v xml:space="preserve">0162839 </v>
      </c>
      <c r="B1680" t="s">
        <v>5507</v>
      </c>
      <c r="C1680" t="str">
        <f>"0162839"</f>
        <v>0162839</v>
      </c>
      <c r="D1680" t="s">
        <v>5528</v>
      </c>
      <c r="E1680">
        <v>4</v>
      </c>
      <c r="F1680" t="s">
        <v>5529</v>
      </c>
      <c r="G1680" t="s">
        <v>5507</v>
      </c>
      <c r="H1680" t="str">
        <f>"0162839"</f>
        <v>0162839</v>
      </c>
    </row>
    <row r="1681" spans="1:8">
      <c r="A1681" t="str">
        <f>"0162840 "</f>
        <v xml:space="preserve">0162840 </v>
      </c>
      <c r="B1681" t="s">
        <v>5507</v>
      </c>
      <c r="C1681" t="str">
        <f>"0162840"</f>
        <v>0162840</v>
      </c>
      <c r="D1681" t="s">
        <v>5530</v>
      </c>
      <c r="E1681" t="s">
        <v>20</v>
      </c>
      <c r="F1681" t="s">
        <v>5531</v>
      </c>
      <c r="G1681" t="s">
        <v>5507</v>
      </c>
      <c r="H1681" t="str">
        <f>"0162840"</f>
        <v>0162840</v>
      </c>
    </row>
    <row r="1682" spans="1:8">
      <c r="A1682" t="str">
        <f>"0162842 "</f>
        <v xml:space="preserve">0162842 </v>
      </c>
      <c r="B1682" t="s">
        <v>5507</v>
      </c>
      <c r="C1682" t="str">
        <f>"0162842"</f>
        <v>0162842</v>
      </c>
      <c r="D1682" t="s">
        <v>5532</v>
      </c>
      <c r="E1682">
        <v>2</v>
      </c>
      <c r="F1682" t="s">
        <v>5533</v>
      </c>
      <c r="G1682" t="s">
        <v>5507</v>
      </c>
      <c r="H1682" t="str">
        <f>"0162842"</f>
        <v>0162842</v>
      </c>
    </row>
    <row r="1683" spans="1:8">
      <c r="A1683" t="str">
        <f>"0162843 "</f>
        <v xml:space="preserve">0162843 </v>
      </c>
      <c r="B1683" t="s">
        <v>5507</v>
      </c>
      <c r="C1683" t="str">
        <f>"0162843"</f>
        <v>0162843</v>
      </c>
      <c r="D1683" t="s">
        <v>5534</v>
      </c>
      <c r="E1683" t="s">
        <v>20</v>
      </c>
      <c r="F1683" t="s">
        <v>3202</v>
      </c>
      <c r="G1683" t="s">
        <v>5507</v>
      </c>
      <c r="H1683" t="str">
        <f>"0162843"</f>
        <v>0162843</v>
      </c>
    </row>
    <row r="1684" spans="1:8">
      <c r="A1684" t="str">
        <f>"0162844 "</f>
        <v xml:space="preserve">0162844 </v>
      </c>
      <c r="B1684" t="s">
        <v>5507</v>
      </c>
      <c r="C1684" t="str">
        <f>"0162844"</f>
        <v>0162844</v>
      </c>
      <c r="D1684" t="s">
        <v>5535</v>
      </c>
      <c r="E1684">
        <v>4</v>
      </c>
      <c r="F1684" t="s">
        <v>3891</v>
      </c>
      <c r="G1684" t="s">
        <v>5507</v>
      </c>
      <c r="H1684" t="str">
        <f>"0162844"</f>
        <v>0162844</v>
      </c>
    </row>
    <row r="1685" spans="1:8">
      <c r="A1685" t="str">
        <f>"0162848 "</f>
        <v xml:space="preserve">0162848 </v>
      </c>
      <c r="B1685" t="s">
        <v>5507</v>
      </c>
      <c r="C1685" t="str">
        <f>"0162848"</f>
        <v>0162848</v>
      </c>
      <c r="D1685" t="s">
        <v>5536</v>
      </c>
      <c r="E1685" t="s">
        <v>20</v>
      </c>
      <c r="F1685" t="s">
        <v>5537</v>
      </c>
      <c r="G1685" t="s">
        <v>5507</v>
      </c>
      <c r="H1685" t="str">
        <f>"0162848"</f>
        <v>0162848</v>
      </c>
    </row>
    <row r="1686" spans="1:8">
      <c r="A1686" t="str">
        <f>"0162849 "</f>
        <v xml:space="preserve">0162849 </v>
      </c>
      <c r="B1686" t="s">
        <v>5507</v>
      </c>
      <c r="C1686" t="str">
        <f>"0162849"</f>
        <v>0162849</v>
      </c>
      <c r="D1686" t="s">
        <v>5538</v>
      </c>
      <c r="E1686" t="s">
        <v>20</v>
      </c>
      <c r="F1686" t="s">
        <v>5539</v>
      </c>
      <c r="G1686" t="s">
        <v>5507</v>
      </c>
      <c r="H1686" t="str">
        <f>"0162849"</f>
        <v>0162849</v>
      </c>
    </row>
    <row r="1687" spans="1:8">
      <c r="A1687" t="str">
        <f>"0162850 "</f>
        <v xml:space="preserve">0162850 </v>
      </c>
      <c r="B1687" t="s">
        <v>5507</v>
      </c>
      <c r="C1687" t="str">
        <f>"0162850"</f>
        <v>0162850</v>
      </c>
      <c r="D1687" t="s">
        <v>5540</v>
      </c>
      <c r="E1687">
        <v>1</v>
      </c>
      <c r="F1687" t="s">
        <v>5541</v>
      </c>
      <c r="G1687" t="s">
        <v>5507</v>
      </c>
      <c r="H1687" t="str">
        <f>"0162850"</f>
        <v>0162850</v>
      </c>
    </row>
    <row r="1688" spans="1:8">
      <c r="A1688" t="str">
        <f>"0162853 "</f>
        <v xml:space="preserve">0162853 </v>
      </c>
      <c r="B1688" t="s">
        <v>5507</v>
      </c>
      <c r="C1688" t="str">
        <f>"0162853"</f>
        <v>0162853</v>
      </c>
      <c r="D1688" t="s">
        <v>5542</v>
      </c>
      <c r="E1688" t="s">
        <v>20</v>
      </c>
      <c r="F1688" t="s">
        <v>5543</v>
      </c>
      <c r="G1688" t="s">
        <v>5507</v>
      </c>
      <c r="H1688" t="str">
        <f>"0162853"</f>
        <v>0162853</v>
      </c>
    </row>
    <row r="1689" spans="1:8">
      <c r="A1689" t="str">
        <f>"0162856 "</f>
        <v xml:space="preserve">0162856 </v>
      </c>
      <c r="B1689" t="s">
        <v>5507</v>
      </c>
      <c r="C1689" t="str">
        <f>"0162856"</f>
        <v>0162856</v>
      </c>
      <c r="D1689" t="s">
        <v>5544</v>
      </c>
      <c r="E1689" t="s">
        <v>20</v>
      </c>
      <c r="F1689" t="s">
        <v>5545</v>
      </c>
      <c r="G1689" t="s">
        <v>5507</v>
      </c>
      <c r="H1689" t="str">
        <f>"0162856"</f>
        <v>0162856</v>
      </c>
    </row>
    <row r="1690" spans="1:8">
      <c r="A1690" t="str">
        <f>"0162857 "</f>
        <v xml:space="preserve">0162857 </v>
      </c>
      <c r="B1690" t="s">
        <v>5507</v>
      </c>
      <c r="C1690" t="str">
        <f>"0162857"</f>
        <v>0162857</v>
      </c>
      <c r="D1690" t="s">
        <v>5546</v>
      </c>
      <c r="E1690" t="s">
        <v>20</v>
      </c>
      <c r="F1690" t="s">
        <v>5547</v>
      </c>
      <c r="G1690" t="s">
        <v>5507</v>
      </c>
      <c r="H1690" t="str">
        <f>"0162857"</f>
        <v>0162857</v>
      </c>
    </row>
    <row r="1691" spans="1:8">
      <c r="A1691" t="str">
        <f>"0162861 "</f>
        <v xml:space="preserve">0162861 </v>
      </c>
      <c r="B1691" t="s">
        <v>5507</v>
      </c>
      <c r="C1691" t="str">
        <f>"0162861"</f>
        <v>0162861</v>
      </c>
      <c r="D1691" t="s">
        <v>5548</v>
      </c>
      <c r="E1691" t="s">
        <v>20</v>
      </c>
      <c r="F1691" t="s">
        <v>5549</v>
      </c>
      <c r="G1691" t="s">
        <v>5507</v>
      </c>
      <c r="H1691" t="str">
        <f>"0162861"</f>
        <v>0162861</v>
      </c>
    </row>
    <row r="1692" spans="1:8">
      <c r="A1692" t="str">
        <f>"0162862 "</f>
        <v xml:space="preserve">0162862 </v>
      </c>
      <c r="B1692" t="s">
        <v>5507</v>
      </c>
      <c r="C1692" t="str">
        <f>"0162862"</f>
        <v>0162862</v>
      </c>
      <c r="D1692" t="s">
        <v>5550</v>
      </c>
      <c r="E1692">
        <v>3</v>
      </c>
      <c r="F1692" t="s">
        <v>5551</v>
      </c>
      <c r="G1692" t="s">
        <v>5507</v>
      </c>
      <c r="H1692" t="str">
        <f>"0162862"</f>
        <v>0162862</v>
      </c>
    </row>
    <row r="1693" spans="1:8">
      <c r="A1693" t="str">
        <f>"0162868 "</f>
        <v xml:space="preserve">0162868 </v>
      </c>
      <c r="B1693" t="s">
        <v>5507</v>
      </c>
      <c r="C1693" t="str">
        <f>"0162868"</f>
        <v>0162868</v>
      </c>
      <c r="D1693" t="s">
        <v>5552</v>
      </c>
      <c r="E1693">
        <v>1</v>
      </c>
      <c r="F1693" t="s">
        <v>5553</v>
      </c>
      <c r="G1693" t="s">
        <v>5507</v>
      </c>
      <c r="H1693" t="str">
        <f>"0162868"</f>
        <v>0162868</v>
      </c>
    </row>
    <row r="1694" spans="1:8">
      <c r="A1694" t="str">
        <f>"0162869 "</f>
        <v xml:space="preserve">0162869 </v>
      </c>
      <c r="B1694" t="s">
        <v>5507</v>
      </c>
      <c r="C1694" t="str">
        <f>"0162869"</f>
        <v>0162869</v>
      </c>
      <c r="D1694" t="s">
        <v>5554</v>
      </c>
      <c r="E1694" t="s">
        <v>20</v>
      </c>
      <c r="F1694" t="s">
        <v>5555</v>
      </c>
      <c r="G1694" t="s">
        <v>5507</v>
      </c>
      <c r="H1694" t="str">
        <f>"0162869"</f>
        <v>0162869</v>
      </c>
    </row>
    <row r="1695" spans="1:8">
      <c r="A1695" t="str">
        <f>"0162870 "</f>
        <v xml:space="preserve">0162870 </v>
      </c>
      <c r="B1695" t="s">
        <v>5507</v>
      </c>
      <c r="C1695" t="str">
        <f>"0162870"</f>
        <v>0162870</v>
      </c>
      <c r="D1695" t="s">
        <v>5556</v>
      </c>
      <c r="E1695" t="s">
        <v>20</v>
      </c>
      <c r="F1695" t="s">
        <v>5557</v>
      </c>
      <c r="G1695" t="s">
        <v>5507</v>
      </c>
      <c r="H1695" t="str">
        <f>"0162870"</f>
        <v>0162870</v>
      </c>
    </row>
    <row r="1696" spans="1:8">
      <c r="A1696" t="str">
        <f>"0162875 "</f>
        <v xml:space="preserve">0162875 </v>
      </c>
      <c r="B1696" t="s">
        <v>5507</v>
      </c>
      <c r="C1696" t="str">
        <f>"0162875"</f>
        <v>0162875</v>
      </c>
      <c r="D1696" t="s">
        <v>5558</v>
      </c>
      <c r="E1696" t="s">
        <v>20</v>
      </c>
      <c r="F1696" t="s">
        <v>5559</v>
      </c>
      <c r="G1696" t="s">
        <v>5507</v>
      </c>
      <c r="H1696" t="str">
        <f>"0162875"</f>
        <v>0162875</v>
      </c>
    </row>
    <row r="1697" spans="1:8">
      <c r="A1697" t="str">
        <f>"0162876 "</f>
        <v xml:space="preserve">0162876 </v>
      </c>
      <c r="B1697" t="s">
        <v>5507</v>
      </c>
      <c r="C1697" t="str">
        <f>"0162876"</f>
        <v>0162876</v>
      </c>
      <c r="D1697" t="s">
        <v>5560</v>
      </c>
      <c r="E1697">
        <v>2</v>
      </c>
      <c r="F1697" t="s">
        <v>5561</v>
      </c>
      <c r="G1697" t="s">
        <v>5507</v>
      </c>
      <c r="H1697" t="str">
        <f>"0162876"</f>
        <v>0162876</v>
      </c>
    </row>
    <row r="1698" spans="1:8">
      <c r="A1698" t="str">
        <f>"0162881 "</f>
        <v xml:space="preserve">0162881 </v>
      </c>
      <c r="B1698" t="s">
        <v>5507</v>
      </c>
      <c r="C1698" t="str">
        <f>"0162881"</f>
        <v>0162881</v>
      </c>
      <c r="D1698" t="s">
        <v>5562</v>
      </c>
      <c r="E1698">
        <v>1</v>
      </c>
      <c r="F1698" t="s">
        <v>5563</v>
      </c>
      <c r="G1698" t="s">
        <v>5507</v>
      </c>
      <c r="H1698" t="str">
        <f>"0162881"</f>
        <v>0162881</v>
      </c>
    </row>
    <row r="1699" spans="1:8">
      <c r="A1699" t="str">
        <f>"0162883 "</f>
        <v xml:space="preserve">0162883 </v>
      </c>
      <c r="B1699" t="s">
        <v>5507</v>
      </c>
      <c r="C1699" t="str">
        <f>"0162883"</f>
        <v>0162883</v>
      </c>
      <c r="D1699" t="s">
        <v>5564</v>
      </c>
      <c r="E1699">
        <v>1</v>
      </c>
      <c r="F1699" t="s">
        <v>5565</v>
      </c>
      <c r="G1699" t="s">
        <v>5507</v>
      </c>
      <c r="H1699" t="str">
        <f>"0162883"</f>
        <v>0162883</v>
      </c>
    </row>
    <row r="1700" spans="1:8">
      <c r="A1700" t="str">
        <f>"0162884 "</f>
        <v xml:space="preserve">0162884 </v>
      </c>
      <c r="B1700" t="s">
        <v>5507</v>
      </c>
      <c r="C1700" t="str">
        <f>"0162884"</f>
        <v>0162884</v>
      </c>
      <c r="D1700" t="s">
        <v>5566</v>
      </c>
      <c r="E1700">
        <v>3</v>
      </c>
      <c r="F1700" t="s">
        <v>5567</v>
      </c>
      <c r="G1700" t="s">
        <v>5507</v>
      </c>
      <c r="H1700" t="str">
        <f>"0162884"</f>
        <v>0162884</v>
      </c>
    </row>
    <row r="1701" spans="1:8">
      <c r="A1701" t="str">
        <f>"0162895 "</f>
        <v xml:space="preserve">0162895 </v>
      </c>
      <c r="B1701" t="s">
        <v>5507</v>
      </c>
      <c r="C1701" t="str">
        <f>"0162895"</f>
        <v>0162895</v>
      </c>
      <c r="D1701" t="s">
        <v>5568</v>
      </c>
      <c r="E1701">
        <v>2</v>
      </c>
      <c r="F1701" t="s">
        <v>1911</v>
      </c>
      <c r="G1701" t="s">
        <v>5507</v>
      </c>
      <c r="H1701" t="str">
        <f>"0162895"</f>
        <v>0162895</v>
      </c>
    </row>
    <row r="1702" spans="1:8">
      <c r="A1702" t="str">
        <f>"0198137 "</f>
        <v xml:space="preserve">0198137 </v>
      </c>
      <c r="B1702" t="s">
        <v>5507</v>
      </c>
      <c r="C1702" t="str">
        <f>"0198137"</f>
        <v>0198137</v>
      </c>
      <c r="D1702" t="s">
        <v>5569</v>
      </c>
      <c r="E1702" t="s">
        <v>20</v>
      </c>
      <c r="F1702" t="s">
        <v>5570</v>
      </c>
      <c r="G1702" t="s">
        <v>5507</v>
      </c>
      <c r="H1702" t="str">
        <f>"0198137"</f>
        <v>0198137</v>
      </c>
    </row>
    <row r="1703" spans="1:8">
      <c r="A1703" t="str">
        <f>"0201651 "</f>
        <v xml:space="preserve">0201651 </v>
      </c>
      <c r="B1703" t="s">
        <v>5507</v>
      </c>
      <c r="C1703" t="str">
        <f>"0201651"</f>
        <v>0201651</v>
      </c>
      <c r="D1703" t="s">
        <v>5571</v>
      </c>
      <c r="E1703" t="s">
        <v>20</v>
      </c>
      <c r="F1703" t="s">
        <v>5572</v>
      </c>
      <c r="G1703" t="s">
        <v>5507</v>
      </c>
      <c r="H1703" t="str">
        <f>"0201651"</f>
        <v>0201651</v>
      </c>
    </row>
    <row r="1704" spans="1:8">
      <c r="A1704" t="str">
        <f>"0248043 "</f>
        <v xml:space="preserve">0248043 </v>
      </c>
      <c r="B1704" t="s">
        <v>5507</v>
      </c>
      <c r="C1704">
        <v>701389</v>
      </c>
      <c r="D1704" t="s">
        <v>5573</v>
      </c>
      <c r="E1704" t="s">
        <v>20</v>
      </c>
      <c r="F1704" t="s">
        <v>5574</v>
      </c>
      <c r="G1704" t="s">
        <v>5507</v>
      </c>
      <c r="H1704">
        <v>701389</v>
      </c>
    </row>
    <row r="1705" spans="1:8">
      <c r="A1705" t="str">
        <f>"0248044 "</f>
        <v xml:space="preserve">0248044 </v>
      </c>
      <c r="B1705" t="s">
        <v>5507</v>
      </c>
      <c r="C1705">
        <v>701390</v>
      </c>
      <c r="D1705" t="s">
        <v>5575</v>
      </c>
      <c r="E1705">
        <v>4</v>
      </c>
      <c r="F1705" t="s">
        <v>5576</v>
      </c>
      <c r="G1705" t="s">
        <v>5507</v>
      </c>
      <c r="H1705">
        <v>701390</v>
      </c>
    </row>
    <row r="1706" spans="1:8">
      <c r="A1706" t="str">
        <f>"0248045 "</f>
        <v xml:space="preserve">0248045 </v>
      </c>
      <c r="B1706" t="s">
        <v>5507</v>
      </c>
      <c r="C1706">
        <v>701391</v>
      </c>
      <c r="D1706" t="s">
        <v>5577</v>
      </c>
      <c r="E1706">
        <v>2</v>
      </c>
      <c r="F1706" t="s">
        <v>5578</v>
      </c>
      <c r="G1706" t="s">
        <v>5507</v>
      </c>
      <c r="H1706">
        <v>701391</v>
      </c>
    </row>
    <row r="1707" spans="1:8">
      <c r="A1707" t="str">
        <f>"0248046 "</f>
        <v xml:space="preserve">0248046 </v>
      </c>
      <c r="B1707" t="s">
        <v>5507</v>
      </c>
      <c r="C1707">
        <v>701392</v>
      </c>
      <c r="D1707" t="s">
        <v>5579</v>
      </c>
      <c r="E1707" t="s">
        <v>20</v>
      </c>
      <c r="F1707" t="s">
        <v>5580</v>
      </c>
      <c r="G1707" t="s">
        <v>5507</v>
      </c>
      <c r="H1707">
        <v>701392</v>
      </c>
    </row>
    <row r="1708" spans="1:8">
      <c r="A1708" t="str">
        <f>"0248047 "</f>
        <v xml:space="preserve">0248047 </v>
      </c>
      <c r="B1708" t="s">
        <v>5507</v>
      </c>
      <c r="C1708">
        <v>701393</v>
      </c>
      <c r="D1708" t="s">
        <v>5581</v>
      </c>
      <c r="E1708">
        <v>4</v>
      </c>
      <c r="F1708" t="s">
        <v>5582</v>
      </c>
      <c r="G1708" t="s">
        <v>5507</v>
      </c>
      <c r="H1708">
        <v>701393</v>
      </c>
    </row>
    <row r="1709" spans="1:8">
      <c r="A1709" t="str">
        <f>"0248048 "</f>
        <v xml:space="preserve">0248048 </v>
      </c>
      <c r="B1709" t="s">
        <v>5507</v>
      </c>
      <c r="C1709">
        <v>701394</v>
      </c>
      <c r="D1709" t="s">
        <v>5583</v>
      </c>
      <c r="E1709">
        <v>2</v>
      </c>
      <c r="F1709" t="s">
        <v>5584</v>
      </c>
      <c r="G1709" t="s">
        <v>5507</v>
      </c>
      <c r="H1709">
        <v>701394</v>
      </c>
    </row>
    <row r="1710" spans="1:8">
      <c r="A1710" t="str">
        <f>"0248049 "</f>
        <v xml:space="preserve">0248049 </v>
      </c>
      <c r="B1710" t="s">
        <v>5507</v>
      </c>
      <c r="C1710">
        <v>701395</v>
      </c>
      <c r="D1710" t="s">
        <v>5585</v>
      </c>
      <c r="E1710" t="s">
        <v>20</v>
      </c>
      <c r="F1710" t="s">
        <v>5586</v>
      </c>
      <c r="G1710" t="s">
        <v>5507</v>
      </c>
      <c r="H1710">
        <v>701395</v>
      </c>
    </row>
    <row r="1711" spans="1:8">
      <c r="A1711" t="str">
        <f>"0248051 "</f>
        <v xml:space="preserve">0248051 </v>
      </c>
      <c r="B1711" t="s">
        <v>5507</v>
      </c>
      <c r="C1711">
        <v>701397</v>
      </c>
      <c r="D1711" t="s">
        <v>5587</v>
      </c>
      <c r="E1711">
        <v>2</v>
      </c>
      <c r="F1711" t="s">
        <v>5588</v>
      </c>
      <c r="G1711" t="s">
        <v>5507</v>
      </c>
      <c r="H1711">
        <v>701397</v>
      </c>
    </row>
    <row r="1712" spans="1:8">
      <c r="A1712" t="str">
        <f>"0248041 "</f>
        <v xml:space="preserve">0248041 </v>
      </c>
      <c r="B1712" t="s">
        <v>5507</v>
      </c>
      <c r="C1712">
        <v>701398</v>
      </c>
      <c r="D1712" t="s">
        <v>5589</v>
      </c>
      <c r="E1712" t="s">
        <v>20</v>
      </c>
      <c r="F1712" t="s">
        <v>5590</v>
      </c>
      <c r="G1712" t="s">
        <v>5507</v>
      </c>
      <c r="H1712">
        <v>701398</v>
      </c>
    </row>
    <row r="1713" spans="1:9">
      <c r="A1713" t="str">
        <f>"0204379 "</f>
        <v xml:space="preserve">0204379 </v>
      </c>
      <c r="B1713" t="s">
        <v>5507</v>
      </c>
      <c r="C1713">
        <v>701399</v>
      </c>
      <c r="D1713" t="s">
        <v>5591</v>
      </c>
      <c r="E1713">
        <v>4</v>
      </c>
      <c r="F1713" t="s">
        <v>5592</v>
      </c>
      <c r="G1713" t="s">
        <v>5507</v>
      </c>
      <c r="H1713">
        <v>701399</v>
      </c>
    </row>
    <row r="1714" spans="1:9">
      <c r="A1714" t="str">
        <f>"0248042 "</f>
        <v xml:space="preserve">0248042 </v>
      </c>
      <c r="B1714" t="s">
        <v>5507</v>
      </c>
      <c r="C1714">
        <v>701402</v>
      </c>
      <c r="D1714" t="s">
        <v>5593</v>
      </c>
      <c r="E1714" t="s">
        <v>20</v>
      </c>
      <c r="F1714" t="s">
        <v>5594</v>
      </c>
      <c r="G1714" t="s">
        <v>5507</v>
      </c>
      <c r="H1714">
        <v>701402</v>
      </c>
    </row>
    <row r="1715" spans="1:9">
      <c r="A1715" t="str">
        <f>"0248040 "</f>
        <v xml:space="preserve">0248040 </v>
      </c>
      <c r="B1715" t="s">
        <v>5507</v>
      </c>
      <c r="C1715">
        <v>701406</v>
      </c>
      <c r="D1715" t="s">
        <v>5595</v>
      </c>
      <c r="E1715">
        <v>2</v>
      </c>
      <c r="F1715" t="s">
        <v>5596</v>
      </c>
      <c r="G1715" t="s">
        <v>5507</v>
      </c>
      <c r="H1715">
        <v>701406</v>
      </c>
    </row>
    <row r="1716" spans="1:9">
      <c r="A1716" t="str">
        <f>"0029788 "</f>
        <v xml:space="preserve">0029788 </v>
      </c>
      <c r="B1716" t="s">
        <v>5597</v>
      </c>
      <c r="C1716" t="str">
        <f>"002 = WA6161"</f>
        <v>002 = WA6161</v>
      </c>
      <c r="D1716" t="s">
        <v>5598</v>
      </c>
      <c r="E1716">
        <v>1</v>
      </c>
      <c r="F1716" t="s">
        <v>5599</v>
      </c>
      <c r="G1716" t="s">
        <v>5600</v>
      </c>
      <c r="H1716" t="s">
        <v>5601</v>
      </c>
      <c r="I1716" t="s">
        <v>5602</v>
      </c>
    </row>
    <row r="1717" spans="1:9">
      <c r="A1717" t="str">
        <f>"0029789 "</f>
        <v xml:space="preserve">0029789 </v>
      </c>
      <c r="B1717" t="s">
        <v>5597</v>
      </c>
      <c r="C1717" t="str">
        <f>"003 = WA6162"</f>
        <v>003 = WA6162</v>
      </c>
      <c r="D1717" t="s">
        <v>5603</v>
      </c>
      <c r="E1717">
        <v>2</v>
      </c>
      <c r="F1717" t="s">
        <v>5604</v>
      </c>
      <c r="G1717" t="s">
        <v>5600</v>
      </c>
      <c r="H1717" t="s">
        <v>5605</v>
      </c>
      <c r="I1717" t="s">
        <v>5606</v>
      </c>
    </row>
    <row r="1718" spans="1:9">
      <c r="A1718" t="str">
        <f>"0029797 "</f>
        <v xml:space="preserve">0029797 </v>
      </c>
      <c r="B1718" t="s">
        <v>5597</v>
      </c>
      <c r="C1718" t="str">
        <f>"003/8 = WA9491"</f>
        <v>003/8 = WA9491</v>
      </c>
      <c r="D1718" t="s">
        <v>5607</v>
      </c>
      <c r="E1718">
        <v>1</v>
      </c>
      <c r="F1718" t="s">
        <v>5608</v>
      </c>
      <c r="G1718" t="s">
        <v>5600</v>
      </c>
      <c r="H1718" t="s">
        <v>5609</v>
      </c>
      <c r="I1718" t="s">
        <v>5610</v>
      </c>
    </row>
    <row r="1719" spans="1:9">
      <c r="A1719" t="str">
        <f>"0029799 "</f>
        <v xml:space="preserve">0029799 </v>
      </c>
      <c r="B1719" t="s">
        <v>5597</v>
      </c>
      <c r="C1719" t="str">
        <f>"004 = WA6166"</f>
        <v>004 = WA6166</v>
      </c>
      <c r="D1719" t="s">
        <v>5611</v>
      </c>
      <c r="E1719" t="s">
        <v>20</v>
      </c>
      <c r="F1719" t="s">
        <v>5612</v>
      </c>
      <c r="G1719" t="s">
        <v>5600</v>
      </c>
      <c r="H1719" t="s">
        <v>5613</v>
      </c>
      <c r="I1719" t="s">
        <v>5614</v>
      </c>
    </row>
    <row r="1720" spans="1:9">
      <c r="A1720" t="str">
        <f>"0029801 "</f>
        <v xml:space="preserve">0029801 </v>
      </c>
      <c r="B1720" t="s">
        <v>5597</v>
      </c>
      <c r="C1720" t="str">
        <f>"004/2 = WA6537"</f>
        <v>004/2 = WA6537</v>
      </c>
      <c r="D1720" t="s">
        <v>5615</v>
      </c>
      <c r="E1720">
        <v>1</v>
      </c>
      <c r="F1720" t="s">
        <v>5616</v>
      </c>
      <c r="G1720" t="s">
        <v>5600</v>
      </c>
      <c r="H1720" t="s">
        <v>5617</v>
      </c>
      <c r="I1720" t="s">
        <v>5618</v>
      </c>
    </row>
    <row r="1721" spans="1:9">
      <c r="A1721" t="str">
        <f>"0029802 "</f>
        <v xml:space="preserve">0029802 </v>
      </c>
      <c r="B1721" t="s">
        <v>5597</v>
      </c>
      <c r="C1721" t="str">
        <f>"004/3 = WA9515"</f>
        <v>004/3 = WA9515</v>
      </c>
      <c r="D1721" t="s">
        <v>5619</v>
      </c>
      <c r="E1721">
        <v>1</v>
      </c>
      <c r="F1721" t="s">
        <v>5620</v>
      </c>
      <c r="G1721" t="s">
        <v>5600</v>
      </c>
      <c r="H1721" t="s">
        <v>5621</v>
      </c>
      <c r="I1721" t="s">
        <v>5622</v>
      </c>
    </row>
    <row r="1722" spans="1:9">
      <c r="A1722" t="str">
        <f>"0116652 "</f>
        <v xml:space="preserve">0116652 </v>
      </c>
      <c r="B1722" t="s">
        <v>5597</v>
      </c>
      <c r="C1722" t="str">
        <f>"004/5 = WA9721"</f>
        <v>004/5 = WA9721</v>
      </c>
      <c r="D1722" t="s">
        <v>5623</v>
      </c>
      <c r="E1722">
        <v>1</v>
      </c>
      <c r="F1722" t="s">
        <v>5624</v>
      </c>
      <c r="G1722" t="s">
        <v>5600</v>
      </c>
      <c r="H1722" t="s">
        <v>5625</v>
      </c>
      <c r="I1722" t="s">
        <v>5626</v>
      </c>
    </row>
    <row r="1723" spans="1:9">
      <c r="A1723" t="str">
        <f>"0029804 "</f>
        <v xml:space="preserve">0029804 </v>
      </c>
      <c r="B1723" t="s">
        <v>5597</v>
      </c>
      <c r="C1723" t="str">
        <f>"005 = WA6167"</f>
        <v>005 = WA6167</v>
      </c>
      <c r="D1723" t="s">
        <v>5627</v>
      </c>
      <c r="E1723" t="s">
        <v>20</v>
      </c>
      <c r="F1723" t="s">
        <v>5628</v>
      </c>
      <c r="G1723" t="s">
        <v>5600</v>
      </c>
      <c r="H1723" t="s">
        <v>5629</v>
      </c>
      <c r="I1723" t="s">
        <v>4492</v>
      </c>
    </row>
    <row r="1724" spans="1:9">
      <c r="A1724" t="str">
        <f>"0029805 "</f>
        <v xml:space="preserve">0029805 </v>
      </c>
      <c r="B1724" t="s">
        <v>5597</v>
      </c>
      <c r="C1724" t="str">
        <f>"006 = WA6168"</f>
        <v>006 = WA6168</v>
      </c>
      <c r="D1724" t="s">
        <v>5630</v>
      </c>
      <c r="E1724" t="s">
        <v>20</v>
      </c>
      <c r="F1724" t="s">
        <v>5631</v>
      </c>
      <c r="G1724" t="s">
        <v>5600</v>
      </c>
      <c r="H1724" t="s">
        <v>5632</v>
      </c>
      <c r="I1724" t="s">
        <v>5633</v>
      </c>
    </row>
    <row r="1725" spans="1:9">
      <c r="A1725" t="str">
        <f>"0029809 "</f>
        <v xml:space="preserve">0029809 </v>
      </c>
      <c r="B1725" t="s">
        <v>5597</v>
      </c>
      <c r="C1725" t="str">
        <f>"010 = WA6172"</f>
        <v>010 = WA6172</v>
      </c>
      <c r="D1725" t="s">
        <v>5634</v>
      </c>
      <c r="E1725">
        <v>2</v>
      </c>
      <c r="F1725" t="s">
        <v>5635</v>
      </c>
      <c r="G1725" t="s">
        <v>5600</v>
      </c>
      <c r="H1725" t="s">
        <v>5636</v>
      </c>
      <c r="I1725" t="s">
        <v>5637</v>
      </c>
    </row>
    <row r="1726" spans="1:9">
      <c r="A1726" t="str">
        <f>"0029810 "</f>
        <v xml:space="preserve">0029810 </v>
      </c>
      <c r="B1726" t="s">
        <v>5597</v>
      </c>
      <c r="C1726" t="str">
        <f>"010/1 = WA6173"</f>
        <v>010/1 = WA6173</v>
      </c>
      <c r="D1726" t="s">
        <v>5638</v>
      </c>
      <c r="E1726">
        <v>1</v>
      </c>
      <c r="F1726" t="s">
        <v>5639</v>
      </c>
      <c r="G1726" t="s">
        <v>5600</v>
      </c>
      <c r="H1726" t="s">
        <v>5640</v>
      </c>
      <c r="I1726" t="s">
        <v>5641</v>
      </c>
    </row>
    <row r="1727" spans="1:9">
      <c r="A1727" t="str">
        <f>"0029811 "</f>
        <v xml:space="preserve">0029811 </v>
      </c>
      <c r="B1727" t="s">
        <v>5597</v>
      </c>
      <c r="C1727" t="str">
        <f>"010/2 = WA6580"</f>
        <v>010/2 = WA6580</v>
      </c>
      <c r="D1727" t="s">
        <v>5642</v>
      </c>
      <c r="E1727">
        <v>2</v>
      </c>
      <c r="F1727" t="s">
        <v>5643</v>
      </c>
      <c r="G1727" t="s">
        <v>5600</v>
      </c>
      <c r="H1727" t="s">
        <v>5644</v>
      </c>
      <c r="I1727" t="s">
        <v>5645</v>
      </c>
    </row>
    <row r="1728" spans="1:9">
      <c r="A1728" t="str">
        <f>"0029812 "</f>
        <v xml:space="preserve">0029812 </v>
      </c>
      <c r="B1728" t="s">
        <v>5597</v>
      </c>
      <c r="C1728" t="str">
        <f>"010/3 = WA6581"</f>
        <v>010/3 = WA6581</v>
      </c>
      <c r="D1728" t="s">
        <v>5646</v>
      </c>
      <c r="E1728">
        <v>2</v>
      </c>
      <c r="F1728" t="s">
        <v>5647</v>
      </c>
      <c r="G1728" t="s">
        <v>5600</v>
      </c>
      <c r="H1728" t="s">
        <v>5648</v>
      </c>
      <c r="I1728" t="s">
        <v>5649</v>
      </c>
    </row>
    <row r="1729" spans="1:9">
      <c r="A1729" t="str">
        <f>"0029813 "</f>
        <v xml:space="preserve">0029813 </v>
      </c>
      <c r="B1729" t="s">
        <v>5597</v>
      </c>
      <c r="C1729" t="str">
        <f>"011 = WA6174"</f>
        <v>011 = WA6174</v>
      </c>
      <c r="D1729" t="s">
        <v>5650</v>
      </c>
      <c r="E1729">
        <v>2</v>
      </c>
      <c r="F1729" t="s">
        <v>5651</v>
      </c>
      <c r="G1729" t="s">
        <v>5600</v>
      </c>
      <c r="H1729" t="s">
        <v>5652</v>
      </c>
      <c r="I1729" t="s">
        <v>5653</v>
      </c>
    </row>
    <row r="1730" spans="1:9">
      <c r="A1730" t="str">
        <f>"0029814 "</f>
        <v xml:space="preserve">0029814 </v>
      </c>
      <c r="B1730" t="s">
        <v>5597</v>
      </c>
      <c r="C1730" t="str">
        <f>"012 = WA6175"</f>
        <v>012 = WA6175</v>
      </c>
      <c r="D1730" t="s">
        <v>5654</v>
      </c>
      <c r="E1730">
        <v>1</v>
      </c>
      <c r="F1730" t="s">
        <v>5655</v>
      </c>
      <c r="G1730" t="s">
        <v>5600</v>
      </c>
      <c r="H1730" t="s">
        <v>5656</v>
      </c>
      <c r="I1730" t="s">
        <v>5657</v>
      </c>
    </row>
    <row r="1731" spans="1:9">
      <c r="A1731" t="str">
        <f>"0029815 "</f>
        <v xml:space="preserve">0029815 </v>
      </c>
      <c r="B1731" t="s">
        <v>5597</v>
      </c>
      <c r="C1731" t="str">
        <f>"013 = WA6176"</f>
        <v>013 = WA6176</v>
      </c>
      <c r="D1731" t="s">
        <v>5658</v>
      </c>
      <c r="E1731" t="s">
        <v>20</v>
      </c>
      <c r="F1731" t="s">
        <v>5659</v>
      </c>
      <c r="G1731" t="s">
        <v>5600</v>
      </c>
      <c r="H1731" t="s">
        <v>5660</v>
      </c>
      <c r="I1731" t="s">
        <v>168</v>
      </c>
    </row>
    <row r="1732" spans="1:9">
      <c r="A1732" t="str">
        <f>"0029817 "</f>
        <v xml:space="preserve">0029817 </v>
      </c>
      <c r="B1732" t="s">
        <v>5597</v>
      </c>
      <c r="C1732" t="str">
        <f>"015 = WA6178"</f>
        <v>015 = WA6178</v>
      </c>
      <c r="D1732" t="s">
        <v>5661</v>
      </c>
      <c r="E1732">
        <v>2</v>
      </c>
      <c r="F1732" t="s">
        <v>5662</v>
      </c>
      <c r="G1732" t="s">
        <v>5600</v>
      </c>
      <c r="H1732" t="s">
        <v>5663</v>
      </c>
      <c r="I1732" t="s">
        <v>5664</v>
      </c>
    </row>
    <row r="1733" spans="1:9">
      <c r="A1733" t="str">
        <f>"0029818 "</f>
        <v xml:space="preserve">0029818 </v>
      </c>
      <c r="B1733" t="s">
        <v>5597</v>
      </c>
      <c r="C1733" t="str">
        <f>"016 = WA6179"</f>
        <v>016 = WA6179</v>
      </c>
      <c r="D1733" t="s">
        <v>5665</v>
      </c>
      <c r="E1733">
        <v>2</v>
      </c>
      <c r="F1733" t="s">
        <v>5666</v>
      </c>
      <c r="G1733" t="s">
        <v>5600</v>
      </c>
      <c r="H1733" t="s">
        <v>5667</v>
      </c>
      <c r="I1733" t="s">
        <v>5668</v>
      </c>
    </row>
    <row r="1734" spans="1:9">
      <c r="A1734" t="str">
        <f>"0029823 "</f>
        <v xml:space="preserve">0029823 </v>
      </c>
      <c r="B1734" t="s">
        <v>5597</v>
      </c>
      <c r="C1734" t="str">
        <f>"020 = WA6183"</f>
        <v>020 = WA6183</v>
      </c>
      <c r="D1734" t="s">
        <v>5669</v>
      </c>
      <c r="E1734">
        <v>1</v>
      </c>
      <c r="F1734" t="s">
        <v>2780</v>
      </c>
      <c r="G1734" t="s">
        <v>5600</v>
      </c>
      <c r="H1734" t="s">
        <v>5670</v>
      </c>
      <c r="I1734" t="s">
        <v>5671</v>
      </c>
    </row>
    <row r="1735" spans="1:9">
      <c r="A1735" t="str">
        <f>"0029826 "</f>
        <v xml:space="preserve">0029826 </v>
      </c>
      <c r="B1735" t="s">
        <v>5597</v>
      </c>
      <c r="C1735" t="str">
        <f>"021 = WA6185"</f>
        <v>021 = WA6185</v>
      </c>
      <c r="D1735" t="s">
        <v>5672</v>
      </c>
      <c r="E1735" t="s">
        <v>20</v>
      </c>
      <c r="F1735" t="s">
        <v>5673</v>
      </c>
      <c r="G1735" t="s">
        <v>5600</v>
      </c>
      <c r="H1735" t="s">
        <v>5674</v>
      </c>
      <c r="I1735" t="s">
        <v>5675</v>
      </c>
    </row>
    <row r="1736" spans="1:9">
      <c r="A1736" t="str">
        <f>"0029828 "</f>
        <v xml:space="preserve">0029828 </v>
      </c>
      <c r="B1736" t="s">
        <v>5597</v>
      </c>
      <c r="C1736" t="str">
        <f>"022/1 = WA9400"</f>
        <v>022/1 = WA9400</v>
      </c>
      <c r="D1736" t="s">
        <v>5676</v>
      </c>
      <c r="E1736">
        <v>1</v>
      </c>
      <c r="F1736" t="s">
        <v>5677</v>
      </c>
      <c r="G1736" t="s">
        <v>5600</v>
      </c>
      <c r="H1736" t="s">
        <v>5678</v>
      </c>
      <c r="I1736" t="s">
        <v>5679</v>
      </c>
    </row>
    <row r="1737" spans="1:9">
      <c r="A1737" t="str">
        <f>"0029829 "</f>
        <v xml:space="preserve">0029829 </v>
      </c>
      <c r="B1737" t="s">
        <v>5597</v>
      </c>
      <c r="C1737" t="str">
        <f>"022/2 = WA9556"</f>
        <v>022/2 = WA9556</v>
      </c>
      <c r="D1737" t="s">
        <v>5680</v>
      </c>
      <c r="E1737" t="s">
        <v>20</v>
      </c>
      <c r="F1737" t="s">
        <v>5681</v>
      </c>
      <c r="G1737" t="s">
        <v>5600</v>
      </c>
      <c r="H1737" t="s">
        <v>5682</v>
      </c>
      <c r="I1737" t="s">
        <v>5683</v>
      </c>
    </row>
    <row r="1738" spans="1:9">
      <c r="A1738" t="str">
        <f>"0029831 "</f>
        <v xml:space="preserve">0029831 </v>
      </c>
      <c r="B1738" t="s">
        <v>5597</v>
      </c>
      <c r="C1738" t="str">
        <f>"023 = WA6187"</f>
        <v>023 = WA6187</v>
      </c>
      <c r="D1738" t="s">
        <v>5684</v>
      </c>
      <c r="E1738">
        <v>3</v>
      </c>
      <c r="F1738" t="s">
        <v>5685</v>
      </c>
      <c r="G1738" t="s">
        <v>5600</v>
      </c>
      <c r="H1738" t="s">
        <v>5686</v>
      </c>
      <c r="I1738" t="s">
        <v>5687</v>
      </c>
    </row>
    <row r="1739" spans="1:9">
      <c r="A1739" t="str">
        <f>"0029834 "</f>
        <v xml:space="preserve">0029834 </v>
      </c>
      <c r="B1739" t="s">
        <v>5597</v>
      </c>
      <c r="C1739" t="str">
        <f>"023/3 = WA6675"</f>
        <v>023/3 = WA6675</v>
      </c>
      <c r="D1739" t="s">
        <v>5688</v>
      </c>
      <c r="E1739" t="s">
        <v>20</v>
      </c>
      <c r="F1739" t="s">
        <v>5689</v>
      </c>
      <c r="G1739" t="s">
        <v>5600</v>
      </c>
      <c r="H1739" t="s">
        <v>5690</v>
      </c>
      <c r="I1739" t="s">
        <v>319</v>
      </c>
    </row>
    <row r="1740" spans="1:9">
      <c r="A1740" t="str">
        <f>"0029835 "</f>
        <v xml:space="preserve">0029835 </v>
      </c>
      <c r="B1740" t="s">
        <v>5597</v>
      </c>
      <c r="C1740" t="str">
        <f>"023/4 = WA9558"</f>
        <v>023/4 = WA9558</v>
      </c>
      <c r="D1740" t="s">
        <v>5691</v>
      </c>
      <c r="E1740" t="s">
        <v>20</v>
      </c>
      <c r="F1740" t="s">
        <v>5692</v>
      </c>
      <c r="G1740" t="s">
        <v>5600</v>
      </c>
      <c r="H1740" t="s">
        <v>5693</v>
      </c>
      <c r="I1740" t="s">
        <v>5694</v>
      </c>
    </row>
    <row r="1741" spans="1:9">
      <c r="A1741" t="str">
        <f>"0159219 "</f>
        <v xml:space="preserve">0159219 </v>
      </c>
      <c r="B1741" t="s">
        <v>5597</v>
      </c>
      <c r="C1741" t="str">
        <f>"023/5 = WA9758"</f>
        <v>023/5 = WA9758</v>
      </c>
      <c r="D1741" t="s">
        <v>5695</v>
      </c>
      <c r="E1741">
        <v>3</v>
      </c>
      <c r="F1741" t="s">
        <v>5696</v>
      </c>
      <c r="G1741" t="s">
        <v>5600</v>
      </c>
      <c r="H1741" t="s">
        <v>5697</v>
      </c>
      <c r="I1741" t="s">
        <v>5698</v>
      </c>
    </row>
    <row r="1742" spans="1:9">
      <c r="A1742" t="str">
        <f>"0029839 "</f>
        <v xml:space="preserve">0029839 </v>
      </c>
      <c r="B1742" t="s">
        <v>5597</v>
      </c>
      <c r="C1742" t="str">
        <f>"025 = WA6189"</f>
        <v>025 = WA6189</v>
      </c>
      <c r="D1742" t="s">
        <v>5699</v>
      </c>
      <c r="E1742">
        <v>1</v>
      </c>
      <c r="F1742" t="s">
        <v>5700</v>
      </c>
      <c r="G1742" t="s">
        <v>5600</v>
      </c>
      <c r="H1742" t="s">
        <v>5701</v>
      </c>
      <c r="I1742" t="s">
        <v>5702</v>
      </c>
    </row>
    <row r="1743" spans="1:9">
      <c r="A1743" t="str">
        <f>"0029841 "</f>
        <v xml:space="preserve">0029841 </v>
      </c>
      <c r="B1743" t="s">
        <v>5597</v>
      </c>
      <c r="C1743" t="str">
        <f>"026 = WA6190"</f>
        <v>026 = WA6190</v>
      </c>
      <c r="D1743" t="s">
        <v>5703</v>
      </c>
      <c r="E1743">
        <v>2</v>
      </c>
      <c r="F1743" t="s">
        <v>5704</v>
      </c>
      <c r="G1743" t="s">
        <v>5600</v>
      </c>
      <c r="H1743" t="s">
        <v>5705</v>
      </c>
      <c r="I1743" t="s">
        <v>5706</v>
      </c>
    </row>
    <row r="1744" spans="1:9">
      <c r="A1744" t="str">
        <f>"0029843 "</f>
        <v xml:space="preserve">0029843 </v>
      </c>
      <c r="B1744" t="s">
        <v>5597</v>
      </c>
      <c r="C1744" t="str">
        <f>"028 = WA6192"</f>
        <v>028 = WA6192</v>
      </c>
      <c r="D1744" t="s">
        <v>5707</v>
      </c>
      <c r="E1744">
        <v>4</v>
      </c>
      <c r="F1744" t="s">
        <v>5708</v>
      </c>
      <c r="G1744" t="s">
        <v>5600</v>
      </c>
      <c r="H1744" t="s">
        <v>5709</v>
      </c>
      <c r="I1744" t="s">
        <v>5710</v>
      </c>
    </row>
    <row r="1745" spans="1:9">
      <c r="A1745" t="str">
        <f>"0029847 "</f>
        <v xml:space="preserve">0029847 </v>
      </c>
      <c r="B1745" t="s">
        <v>5597</v>
      </c>
      <c r="C1745" t="str">
        <f>"029 = WA6194"</f>
        <v>029 = WA6194</v>
      </c>
      <c r="D1745" t="s">
        <v>5711</v>
      </c>
      <c r="E1745">
        <v>1</v>
      </c>
      <c r="F1745" t="s">
        <v>5712</v>
      </c>
      <c r="G1745" t="s">
        <v>5600</v>
      </c>
      <c r="H1745" t="s">
        <v>5713</v>
      </c>
      <c r="I1745" t="s">
        <v>5714</v>
      </c>
    </row>
    <row r="1746" spans="1:9">
      <c r="A1746" t="str">
        <f>"0116658 "</f>
        <v xml:space="preserve">0116658 </v>
      </c>
      <c r="B1746" t="s">
        <v>5597</v>
      </c>
      <c r="C1746" t="str">
        <f>"030/2 = WA9661"</f>
        <v>030/2 = WA9661</v>
      </c>
      <c r="D1746" t="s">
        <v>5715</v>
      </c>
      <c r="E1746">
        <v>2</v>
      </c>
      <c r="F1746" t="s">
        <v>5624</v>
      </c>
      <c r="G1746" t="s">
        <v>5600</v>
      </c>
      <c r="H1746" t="s">
        <v>5716</v>
      </c>
      <c r="I1746" t="s">
        <v>5717</v>
      </c>
    </row>
    <row r="1747" spans="1:9">
      <c r="A1747" t="str">
        <f>"0029849 "</f>
        <v xml:space="preserve">0029849 </v>
      </c>
      <c r="B1747" t="s">
        <v>5597</v>
      </c>
      <c r="C1747" t="str">
        <f>"031 = WA6196"</f>
        <v>031 = WA6196</v>
      </c>
      <c r="D1747" t="s">
        <v>5718</v>
      </c>
      <c r="E1747">
        <v>1</v>
      </c>
      <c r="F1747" t="s">
        <v>5719</v>
      </c>
      <c r="G1747" t="s">
        <v>5600</v>
      </c>
      <c r="H1747" t="s">
        <v>5720</v>
      </c>
      <c r="I1747" t="s">
        <v>5721</v>
      </c>
    </row>
    <row r="1748" spans="1:9">
      <c r="A1748" t="str">
        <f>"0029850 "</f>
        <v xml:space="preserve">0029850 </v>
      </c>
      <c r="B1748" t="s">
        <v>5597</v>
      </c>
      <c r="C1748" t="str">
        <f>"032 = WA6197"</f>
        <v>032 = WA6197</v>
      </c>
      <c r="D1748" t="s">
        <v>5722</v>
      </c>
      <c r="E1748">
        <v>1</v>
      </c>
      <c r="F1748" t="s">
        <v>5723</v>
      </c>
      <c r="G1748" t="s">
        <v>5600</v>
      </c>
      <c r="H1748" t="s">
        <v>5724</v>
      </c>
      <c r="I1748" t="s">
        <v>5725</v>
      </c>
    </row>
    <row r="1749" spans="1:9">
      <c r="A1749" t="str">
        <f>"0029851 "</f>
        <v xml:space="preserve">0029851 </v>
      </c>
      <c r="B1749" t="s">
        <v>5597</v>
      </c>
      <c r="C1749" t="str">
        <f>"032/1 = WA6655"</f>
        <v>032/1 = WA6655</v>
      </c>
      <c r="D1749" t="s">
        <v>5726</v>
      </c>
      <c r="E1749">
        <v>1</v>
      </c>
      <c r="F1749" t="s">
        <v>5727</v>
      </c>
      <c r="G1749" t="s">
        <v>5600</v>
      </c>
      <c r="H1749" t="s">
        <v>5728</v>
      </c>
      <c r="I1749" t="s">
        <v>5729</v>
      </c>
    </row>
    <row r="1750" spans="1:9">
      <c r="A1750" t="str">
        <f>"0029857 "</f>
        <v xml:space="preserve">0029857 </v>
      </c>
      <c r="B1750" t="s">
        <v>5597</v>
      </c>
      <c r="C1750" t="str">
        <f>"034 = WA6198"</f>
        <v>034 = WA6198</v>
      </c>
      <c r="D1750" t="s">
        <v>5730</v>
      </c>
      <c r="E1750">
        <v>1</v>
      </c>
      <c r="F1750" t="s">
        <v>5731</v>
      </c>
      <c r="G1750" t="s">
        <v>5600</v>
      </c>
      <c r="H1750" t="s">
        <v>5732</v>
      </c>
      <c r="I1750" t="s">
        <v>5733</v>
      </c>
    </row>
    <row r="1751" spans="1:9">
      <c r="A1751" t="str">
        <f>"0029860 "</f>
        <v xml:space="preserve">0029860 </v>
      </c>
      <c r="B1751" t="s">
        <v>5597</v>
      </c>
      <c r="C1751" t="str">
        <f>"034/4-2x = WA9504"</f>
        <v>034/4-2x = WA9504</v>
      </c>
      <c r="D1751" t="s">
        <v>5734</v>
      </c>
      <c r="E1751">
        <v>1</v>
      </c>
      <c r="F1751" t="s">
        <v>5735</v>
      </c>
      <c r="G1751" t="s">
        <v>5600</v>
      </c>
      <c r="H1751" t="s">
        <v>5736</v>
      </c>
      <c r="I1751" t="s">
        <v>5737</v>
      </c>
    </row>
    <row r="1752" spans="1:9">
      <c r="A1752" t="str">
        <f>"0029863 "</f>
        <v xml:space="preserve">0029863 </v>
      </c>
      <c r="B1752" t="s">
        <v>5597</v>
      </c>
      <c r="C1752" t="str">
        <f>"035/2 = WA6680"</f>
        <v>035/2 = WA6680</v>
      </c>
      <c r="D1752" t="s">
        <v>5738</v>
      </c>
      <c r="E1752">
        <v>1</v>
      </c>
      <c r="F1752" t="s">
        <v>5739</v>
      </c>
      <c r="G1752" t="s">
        <v>5600</v>
      </c>
      <c r="H1752" t="s">
        <v>5740</v>
      </c>
      <c r="I1752" t="s">
        <v>5741</v>
      </c>
    </row>
    <row r="1753" spans="1:9">
      <c r="A1753" t="str">
        <f>"0029865 "</f>
        <v xml:space="preserve">0029865 </v>
      </c>
      <c r="B1753" t="s">
        <v>5597</v>
      </c>
      <c r="C1753" t="str">
        <f>"036 = WA6378"</f>
        <v>036 = WA6378</v>
      </c>
      <c r="D1753" t="s">
        <v>5742</v>
      </c>
      <c r="E1753">
        <v>1</v>
      </c>
      <c r="F1753" t="s">
        <v>5739</v>
      </c>
      <c r="G1753" t="s">
        <v>5600</v>
      </c>
      <c r="H1753" t="s">
        <v>5743</v>
      </c>
      <c r="I1753" t="s">
        <v>5744</v>
      </c>
    </row>
    <row r="1754" spans="1:9">
      <c r="A1754" t="str">
        <f>"0029867 "</f>
        <v xml:space="preserve">0029867 </v>
      </c>
      <c r="B1754" t="s">
        <v>5597</v>
      </c>
      <c r="C1754" t="str">
        <f>"037 = WA6379"</f>
        <v>037 = WA6379</v>
      </c>
      <c r="D1754" t="s">
        <v>5745</v>
      </c>
      <c r="E1754">
        <v>1</v>
      </c>
      <c r="F1754" t="s">
        <v>5746</v>
      </c>
      <c r="G1754" t="s">
        <v>5600</v>
      </c>
      <c r="H1754" t="s">
        <v>5747</v>
      </c>
      <c r="I1754" t="s">
        <v>5748</v>
      </c>
    </row>
    <row r="1755" spans="1:9">
      <c r="A1755" t="str">
        <f>"0029872 "</f>
        <v xml:space="preserve">0029872 </v>
      </c>
      <c r="B1755" t="s">
        <v>5597</v>
      </c>
      <c r="C1755" t="str">
        <f>"041 = WA6203"</f>
        <v>041 = WA6203</v>
      </c>
      <c r="D1755" t="s">
        <v>5749</v>
      </c>
      <c r="E1755">
        <v>1</v>
      </c>
      <c r="F1755" t="s">
        <v>5750</v>
      </c>
      <c r="G1755" t="s">
        <v>5600</v>
      </c>
      <c r="H1755" t="s">
        <v>5751</v>
      </c>
      <c r="I1755" t="s">
        <v>5752</v>
      </c>
    </row>
    <row r="1756" spans="1:9">
      <c r="A1756" t="str">
        <f>"0029873 "</f>
        <v xml:space="preserve">0029873 </v>
      </c>
      <c r="B1756" t="s">
        <v>5597</v>
      </c>
      <c r="C1756" t="str">
        <f>"042 = WA6204"</f>
        <v>042 = WA6204</v>
      </c>
      <c r="D1756" t="s">
        <v>5753</v>
      </c>
      <c r="E1756" t="s">
        <v>20</v>
      </c>
      <c r="F1756" t="s">
        <v>5754</v>
      </c>
      <c r="G1756" t="s">
        <v>5600</v>
      </c>
      <c r="H1756" t="s">
        <v>5755</v>
      </c>
      <c r="I1756" t="s">
        <v>5756</v>
      </c>
    </row>
    <row r="1757" spans="1:9">
      <c r="A1757" t="str">
        <f>"0029877 "</f>
        <v xml:space="preserve">0029877 </v>
      </c>
      <c r="B1757" t="s">
        <v>5597</v>
      </c>
      <c r="C1757" t="str">
        <f>"046 = WA6208"</f>
        <v>046 = WA6208</v>
      </c>
      <c r="D1757" t="s">
        <v>5757</v>
      </c>
      <c r="E1757" t="s">
        <v>20</v>
      </c>
      <c r="F1757" t="s">
        <v>5758</v>
      </c>
      <c r="G1757" t="s">
        <v>5600</v>
      </c>
      <c r="H1757" t="s">
        <v>5759</v>
      </c>
      <c r="I1757" t="s">
        <v>5760</v>
      </c>
    </row>
    <row r="1758" spans="1:9">
      <c r="A1758" t="str">
        <f>"0029878 "</f>
        <v xml:space="preserve">0029878 </v>
      </c>
      <c r="B1758" t="s">
        <v>5597</v>
      </c>
      <c r="C1758" t="str">
        <f>"046/1 = WA6209"</f>
        <v>046/1 = WA6209</v>
      </c>
      <c r="D1758" t="s">
        <v>5761</v>
      </c>
      <c r="E1758">
        <v>1</v>
      </c>
      <c r="F1758" t="s">
        <v>5762</v>
      </c>
      <c r="G1758" t="s">
        <v>5600</v>
      </c>
      <c r="H1758" t="s">
        <v>5763</v>
      </c>
      <c r="I1758" t="s">
        <v>5764</v>
      </c>
    </row>
    <row r="1759" spans="1:9">
      <c r="A1759" t="str">
        <f>"0029879 "</f>
        <v xml:space="preserve">0029879 </v>
      </c>
      <c r="B1759" t="s">
        <v>5597</v>
      </c>
      <c r="C1759" t="str">
        <f>"047 = WA6210"</f>
        <v>047 = WA6210</v>
      </c>
      <c r="D1759" t="s">
        <v>5765</v>
      </c>
      <c r="E1759">
        <v>1</v>
      </c>
      <c r="F1759" t="s">
        <v>5766</v>
      </c>
      <c r="G1759" t="s">
        <v>5600</v>
      </c>
      <c r="H1759" t="s">
        <v>5767</v>
      </c>
      <c r="I1759" t="s">
        <v>5768</v>
      </c>
    </row>
    <row r="1760" spans="1:9">
      <c r="A1760" t="str">
        <f>"0029880 "</f>
        <v xml:space="preserve">0029880 </v>
      </c>
      <c r="B1760" t="s">
        <v>5597</v>
      </c>
      <c r="C1760" t="str">
        <f>"048 = WA6211"</f>
        <v>048 = WA6211</v>
      </c>
      <c r="D1760" t="s">
        <v>5769</v>
      </c>
      <c r="E1760">
        <v>1</v>
      </c>
      <c r="F1760" t="s">
        <v>1738</v>
      </c>
      <c r="G1760" t="s">
        <v>5600</v>
      </c>
      <c r="H1760" t="s">
        <v>5770</v>
      </c>
      <c r="I1760" t="s">
        <v>5771</v>
      </c>
    </row>
    <row r="1761" spans="1:9">
      <c r="A1761" t="str">
        <f>"0029881 "</f>
        <v xml:space="preserve">0029881 </v>
      </c>
      <c r="B1761" t="s">
        <v>5597</v>
      </c>
      <c r="C1761" t="str">
        <f>"049 = WA6212"</f>
        <v>049 = WA6212</v>
      </c>
      <c r="D1761" t="s">
        <v>5772</v>
      </c>
      <c r="E1761">
        <v>1</v>
      </c>
      <c r="F1761" t="s">
        <v>5773</v>
      </c>
      <c r="G1761" t="s">
        <v>5600</v>
      </c>
      <c r="H1761" t="s">
        <v>5774</v>
      </c>
      <c r="I1761" t="s">
        <v>156</v>
      </c>
    </row>
    <row r="1762" spans="1:9">
      <c r="A1762" t="str">
        <f>"0029882 "</f>
        <v xml:space="preserve">0029882 </v>
      </c>
      <c r="B1762" t="s">
        <v>5597</v>
      </c>
      <c r="C1762" t="str">
        <f>"050 = WA6213"</f>
        <v>050 = WA6213</v>
      </c>
      <c r="D1762" t="s">
        <v>5775</v>
      </c>
      <c r="E1762">
        <v>2</v>
      </c>
      <c r="F1762" t="s">
        <v>5776</v>
      </c>
      <c r="G1762" t="s">
        <v>5600</v>
      </c>
      <c r="H1762" t="s">
        <v>5777</v>
      </c>
      <c r="I1762" t="s">
        <v>5778</v>
      </c>
    </row>
    <row r="1763" spans="1:9">
      <c r="A1763" t="str">
        <f>"0029883 "</f>
        <v xml:space="preserve">0029883 </v>
      </c>
      <c r="B1763" t="s">
        <v>5597</v>
      </c>
      <c r="C1763" t="str">
        <f>"051 = WA6214"</f>
        <v>051 = WA6214</v>
      </c>
      <c r="D1763" t="s">
        <v>5779</v>
      </c>
      <c r="E1763" t="s">
        <v>20</v>
      </c>
      <c r="F1763" t="s">
        <v>5780</v>
      </c>
      <c r="G1763" t="s">
        <v>5600</v>
      </c>
      <c r="H1763" t="s">
        <v>5781</v>
      </c>
      <c r="I1763" t="s">
        <v>5782</v>
      </c>
    </row>
    <row r="1764" spans="1:9">
      <c r="A1764" t="str">
        <f>"0029884 "</f>
        <v xml:space="preserve">0029884 </v>
      </c>
      <c r="B1764" t="s">
        <v>5597</v>
      </c>
      <c r="C1764" t="str">
        <f>"051/1 = WA6699"</f>
        <v>051/1 = WA6699</v>
      </c>
      <c r="D1764" t="s">
        <v>5783</v>
      </c>
      <c r="E1764">
        <v>3</v>
      </c>
      <c r="F1764" t="s">
        <v>5784</v>
      </c>
      <c r="G1764" t="s">
        <v>5600</v>
      </c>
      <c r="H1764" t="s">
        <v>5785</v>
      </c>
      <c r="I1764" t="s">
        <v>312</v>
      </c>
    </row>
    <row r="1765" spans="1:9">
      <c r="A1765" t="str">
        <f>"0029887 "</f>
        <v xml:space="preserve">0029887 </v>
      </c>
      <c r="B1765" t="s">
        <v>5597</v>
      </c>
      <c r="C1765" t="str">
        <f>"051/4 = WA9401"</f>
        <v>051/4 = WA9401</v>
      </c>
      <c r="D1765" t="s">
        <v>5786</v>
      </c>
      <c r="E1765">
        <v>1</v>
      </c>
      <c r="F1765" t="s">
        <v>3367</v>
      </c>
      <c r="G1765" t="s">
        <v>5600</v>
      </c>
      <c r="H1765" t="s">
        <v>5787</v>
      </c>
      <c r="I1765" t="s">
        <v>5788</v>
      </c>
    </row>
    <row r="1766" spans="1:9">
      <c r="A1766" t="str">
        <f>"0029888 "</f>
        <v xml:space="preserve">0029888 </v>
      </c>
      <c r="B1766" t="s">
        <v>5597</v>
      </c>
      <c r="C1766" t="str">
        <f>"051/5 = WA9402"</f>
        <v>051/5 = WA9402</v>
      </c>
      <c r="D1766" t="s">
        <v>5789</v>
      </c>
      <c r="E1766">
        <v>2</v>
      </c>
      <c r="F1766" t="s">
        <v>5790</v>
      </c>
      <c r="G1766" t="s">
        <v>5600</v>
      </c>
      <c r="H1766" t="s">
        <v>5791</v>
      </c>
      <c r="I1766" t="s">
        <v>5792</v>
      </c>
    </row>
    <row r="1767" spans="1:9">
      <c r="A1767" t="str">
        <f>"0086632 "</f>
        <v xml:space="preserve">0086632 </v>
      </c>
      <c r="B1767" t="s">
        <v>5597</v>
      </c>
      <c r="C1767" t="str">
        <f>"051/7 = WA9653"</f>
        <v>051/7 = WA9653</v>
      </c>
      <c r="D1767" t="s">
        <v>5793</v>
      </c>
      <c r="E1767">
        <v>1</v>
      </c>
      <c r="F1767" t="s">
        <v>5794</v>
      </c>
      <c r="G1767" t="s">
        <v>5600</v>
      </c>
      <c r="H1767" t="s">
        <v>5795</v>
      </c>
      <c r="I1767" t="s">
        <v>5796</v>
      </c>
    </row>
    <row r="1768" spans="1:9">
      <c r="A1768" t="str">
        <f>"0086633 "</f>
        <v xml:space="preserve">0086633 </v>
      </c>
      <c r="B1768" t="s">
        <v>5597</v>
      </c>
      <c r="C1768" t="str">
        <f>"051/8 = WA9654"</f>
        <v>051/8 = WA9654</v>
      </c>
      <c r="D1768" t="s">
        <v>5797</v>
      </c>
      <c r="E1768">
        <v>2</v>
      </c>
      <c r="F1768" t="s">
        <v>5798</v>
      </c>
      <c r="G1768" t="s">
        <v>5600</v>
      </c>
      <c r="H1768" t="s">
        <v>5799</v>
      </c>
      <c r="I1768" t="s">
        <v>5800</v>
      </c>
    </row>
    <row r="1769" spans="1:9">
      <c r="A1769" t="str">
        <f>"0029894 "</f>
        <v xml:space="preserve">0029894 </v>
      </c>
      <c r="B1769" t="s">
        <v>5597</v>
      </c>
      <c r="C1769" t="str">
        <f>"056 = WA6220"</f>
        <v>056 = WA6220</v>
      </c>
      <c r="D1769" t="s">
        <v>5801</v>
      </c>
      <c r="E1769">
        <v>3</v>
      </c>
      <c r="F1769" t="s">
        <v>5802</v>
      </c>
      <c r="G1769" t="s">
        <v>5600</v>
      </c>
      <c r="H1769" t="s">
        <v>5803</v>
      </c>
      <c r="I1769" t="s">
        <v>5804</v>
      </c>
    </row>
    <row r="1770" spans="1:9">
      <c r="A1770" t="str">
        <f>"0029895 "</f>
        <v xml:space="preserve">0029895 </v>
      </c>
      <c r="B1770" t="s">
        <v>5597</v>
      </c>
      <c r="C1770" t="str">
        <f>"057 = WA6221"</f>
        <v>057 = WA6221</v>
      </c>
      <c r="D1770" t="s">
        <v>5805</v>
      </c>
      <c r="E1770">
        <v>5</v>
      </c>
      <c r="F1770" t="s">
        <v>5806</v>
      </c>
      <c r="G1770" t="s">
        <v>5600</v>
      </c>
      <c r="H1770" t="s">
        <v>5807</v>
      </c>
      <c r="I1770" t="s">
        <v>5808</v>
      </c>
    </row>
    <row r="1771" spans="1:9">
      <c r="A1771" t="str">
        <f>"0029898 "</f>
        <v xml:space="preserve">0029898 </v>
      </c>
      <c r="B1771" t="s">
        <v>5597</v>
      </c>
      <c r="C1771" t="str">
        <f>"058 = WA6223"</f>
        <v>058 = WA6223</v>
      </c>
      <c r="D1771" t="s">
        <v>5809</v>
      </c>
      <c r="E1771">
        <v>1</v>
      </c>
      <c r="F1771" t="s">
        <v>5810</v>
      </c>
      <c r="G1771" t="s">
        <v>5600</v>
      </c>
      <c r="H1771" t="s">
        <v>5811</v>
      </c>
      <c r="I1771" t="s">
        <v>5812</v>
      </c>
    </row>
    <row r="1772" spans="1:9">
      <c r="A1772" t="str">
        <f>"0029900 "</f>
        <v xml:space="preserve">0029900 </v>
      </c>
      <c r="B1772" t="s">
        <v>5597</v>
      </c>
      <c r="C1772" t="str">
        <f>"058/2 = WA9452"</f>
        <v>058/2 = WA9452</v>
      </c>
      <c r="D1772" t="s">
        <v>5813</v>
      </c>
      <c r="E1772">
        <v>1</v>
      </c>
      <c r="F1772" t="s">
        <v>5814</v>
      </c>
      <c r="G1772" t="s">
        <v>5600</v>
      </c>
      <c r="H1772" t="s">
        <v>5815</v>
      </c>
      <c r="I1772" t="s">
        <v>5816</v>
      </c>
    </row>
    <row r="1773" spans="1:9">
      <c r="A1773" t="str">
        <f>"0029901 "</f>
        <v xml:space="preserve">0029901 </v>
      </c>
      <c r="B1773" t="s">
        <v>5597</v>
      </c>
      <c r="C1773" t="str">
        <f>"058/3 = WA9503"</f>
        <v>058/3 = WA9503</v>
      </c>
      <c r="D1773" t="s">
        <v>5817</v>
      </c>
      <c r="E1773">
        <v>2</v>
      </c>
      <c r="F1773" t="s">
        <v>5818</v>
      </c>
      <c r="G1773" t="s">
        <v>5600</v>
      </c>
      <c r="H1773" t="s">
        <v>5819</v>
      </c>
      <c r="I1773" t="s">
        <v>5820</v>
      </c>
    </row>
    <row r="1774" spans="1:9">
      <c r="A1774" t="str">
        <f>"0029902 "</f>
        <v xml:space="preserve">0029902 </v>
      </c>
      <c r="B1774" t="s">
        <v>5597</v>
      </c>
      <c r="C1774" t="str">
        <f>"058/4 = WA9526"</f>
        <v>058/4 = WA9526</v>
      </c>
      <c r="D1774" t="s">
        <v>5821</v>
      </c>
      <c r="E1774">
        <v>1</v>
      </c>
      <c r="F1774" t="s">
        <v>3024</v>
      </c>
      <c r="G1774" t="s">
        <v>5600</v>
      </c>
      <c r="H1774" t="s">
        <v>5822</v>
      </c>
      <c r="I1774" t="s">
        <v>5823</v>
      </c>
    </row>
    <row r="1775" spans="1:9">
      <c r="A1775" t="str">
        <f>"0038158 "</f>
        <v xml:space="preserve">0038158 </v>
      </c>
      <c r="B1775" t="s">
        <v>5597</v>
      </c>
      <c r="C1775" t="str">
        <f>"058/8 = WA9596"</f>
        <v>058/8 = WA9596</v>
      </c>
      <c r="D1775" t="s">
        <v>5824</v>
      </c>
      <c r="E1775">
        <v>1</v>
      </c>
      <c r="F1775" t="s">
        <v>3412</v>
      </c>
      <c r="G1775" t="s">
        <v>5600</v>
      </c>
      <c r="H1775" t="s">
        <v>5825</v>
      </c>
      <c r="I1775" t="s">
        <v>474</v>
      </c>
    </row>
    <row r="1776" spans="1:9">
      <c r="A1776" t="str">
        <f>"0116662 "</f>
        <v xml:space="preserve">0116662 </v>
      </c>
      <c r="B1776" t="s">
        <v>5597</v>
      </c>
      <c r="C1776" t="str">
        <f>"058/9 = WA9748"</f>
        <v>058/9 = WA9748</v>
      </c>
      <c r="D1776" t="s">
        <v>5826</v>
      </c>
      <c r="E1776">
        <v>1</v>
      </c>
      <c r="F1776" t="s">
        <v>5827</v>
      </c>
      <c r="G1776" t="s">
        <v>5600</v>
      </c>
      <c r="H1776" t="s">
        <v>5828</v>
      </c>
      <c r="I1776" t="s">
        <v>5829</v>
      </c>
    </row>
    <row r="1777" spans="1:9">
      <c r="A1777" t="str">
        <f>"0029906 "</f>
        <v xml:space="preserve">0029906 </v>
      </c>
      <c r="B1777" t="s">
        <v>5597</v>
      </c>
      <c r="C1777" t="str">
        <f>"060 = WA6225"</f>
        <v>060 = WA6225</v>
      </c>
      <c r="D1777" t="s">
        <v>5830</v>
      </c>
      <c r="E1777">
        <v>2</v>
      </c>
      <c r="F1777" t="s">
        <v>5831</v>
      </c>
      <c r="G1777" t="s">
        <v>5600</v>
      </c>
      <c r="H1777" t="s">
        <v>5832</v>
      </c>
      <c r="I1777" t="s">
        <v>5833</v>
      </c>
    </row>
    <row r="1778" spans="1:9">
      <c r="A1778" t="str">
        <f>"0029907 "</f>
        <v xml:space="preserve">0029907 </v>
      </c>
      <c r="B1778" t="s">
        <v>5597</v>
      </c>
      <c r="C1778" t="str">
        <f>"061 = WA6226"</f>
        <v>061 = WA6226</v>
      </c>
      <c r="D1778" t="s">
        <v>5834</v>
      </c>
      <c r="E1778" t="s">
        <v>20</v>
      </c>
      <c r="F1778" t="s">
        <v>5835</v>
      </c>
      <c r="G1778" t="s">
        <v>5600</v>
      </c>
      <c r="H1778" t="s">
        <v>5836</v>
      </c>
      <c r="I1778" t="s">
        <v>5837</v>
      </c>
    </row>
    <row r="1779" spans="1:9">
      <c r="A1779" t="str">
        <f>"0159224 "</f>
        <v xml:space="preserve">0159224 </v>
      </c>
      <c r="B1779" t="s">
        <v>5597</v>
      </c>
      <c r="C1779" t="str">
        <f>"062/1 = WA9766"</f>
        <v>062/1 = WA9766</v>
      </c>
      <c r="D1779" t="s">
        <v>5838</v>
      </c>
      <c r="E1779">
        <v>1</v>
      </c>
      <c r="F1779" t="s">
        <v>5839</v>
      </c>
      <c r="G1779" t="s">
        <v>5600</v>
      </c>
      <c r="H1779" t="s">
        <v>5840</v>
      </c>
      <c r="I1779" t="s">
        <v>5841</v>
      </c>
    </row>
    <row r="1780" spans="1:9">
      <c r="A1780" t="str">
        <f>"0029908 "</f>
        <v xml:space="preserve">0029908 </v>
      </c>
      <c r="B1780" t="s">
        <v>5597</v>
      </c>
      <c r="C1780" t="str">
        <f>"063 = WA6228"</f>
        <v>063 = WA6228</v>
      </c>
      <c r="D1780" t="s">
        <v>5842</v>
      </c>
      <c r="E1780">
        <v>3</v>
      </c>
      <c r="F1780" t="s">
        <v>5677</v>
      </c>
      <c r="G1780" t="s">
        <v>5600</v>
      </c>
      <c r="H1780" t="s">
        <v>5843</v>
      </c>
      <c r="I1780" t="s">
        <v>198</v>
      </c>
    </row>
    <row r="1781" spans="1:9">
      <c r="A1781" t="str">
        <f>"0029909 "</f>
        <v xml:space="preserve">0029909 </v>
      </c>
      <c r="B1781" t="s">
        <v>5597</v>
      </c>
      <c r="C1781" t="str">
        <f>"063/1 = WA9405"</f>
        <v>063/1 = WA9405</v>
      </c>
      <c r="D1781" t="s">
        <v>5844</v>
      </c>
      <c r="E1781" t="s">
        <v>20</v>
      </c>
      <c r="F1781" t="s">
        <v>5845</v>
      </c>
      <c r="G1781" t="s">
        <v>5600</v>
      </c>
      <c r="H1781" t="s">
        <v>5846</v>
      </c>
      <c r="I1781" t="s">
        <v>5847</v>
      </c>
    </row>
    <row r="1782" spans="1:9">
      <c r="A1782" t="str">
        <f>"0029910 "</f>
        <v xml:space="preserve">0029910 </v>
      </c>
      <c r="B1782" t="s">
        <v>5597</v>
      </c>
      <c r="C1782" t="str">
        <f>"064 = WA6229"</f>
        <v>064 = WA6229</v>
      </c>
      <c r="D1782" t="s">
        <v>5848</v>
      </c>
      <c r="E1782">
        <v>1</v>
      </c>
      <c r="F1782" t="s">
        <v>5849</v>
      </c>
      <c r="G1782" t="s">
        <v>5600</v>
      </c>
      <c r="H1782" t="s">
        <v>5850</v>
      </c>
      <c r="I1782" t="s">
        <v>5851</v>
      </c>
    </row>
    <row r="1783" spans="1:9">
      <c r="A1783" t="str">
        <f>"0029911 "</f>
        <v xml:space="preserve">0029911 </v>
      </c>
      <c r="B1783" t="s">
        <v>5597</v>
      </c>
      <c r="C1783" t="str">
        <f>"065 = WA6230"</f>
        <v>065 = WA6230</v>
      </c>
      <c r="D1783" t="s">
        <v>5852</v>
      </c>
      <c r="E1783">
        <v>1</v>
      </c>
      <c r="F1783" t="s">
        <v>5853</v>
      </c>
      <c r="G1783" t="s">
        <v>5600</v>
      </c>
      <c r="H1783" t="s">
        <v>5854</v>
      </c>
      <c r="I1783" t="s">
        <v>5855</v>
      </c>
    </row>
    <row r="1784" spans="1:9">
      <c r="A1784" t="str">
        <f>"0029912 "</f>
        <v xml:space="preserve">0029912 </v>
      </c>
      <c r="B1784" t="s">
        <v>5597</v>
      </c>
      <c r="C1784" t="str">
        <f>"066 = WA6231"</f>
        <v>066 = WA6231</v>
      </c>
      <c r="D1784" t="s">
        <v>5856</v>
      </c>
      <c r="E1784">
        <v>1</v>
      </c>
      <c r="F1784" t="s">
        <v>5857</v>
      </c>
      <c r="G1784" t="s">
        <v>5600</v>
      </c>
      <c r="H1784" t="s">
        <v>5858</v>
      </c>
      <c r="I1784" t="s">
        <v>5859</v>
      </c>
    </row>
    <row r="1785" spans="1:9">
      <c r="A1785" t="str">
        <f>"0029913 "</f>
        <v xml:space="preserve">0029913 </v>
      </c>
      <c r="B1785" t="s">
        <v>5597</v>
      </c>
      <c r="C1785" t="str">
        <f>"067 = WA6232"</f>
        <v>067 = WA6232</v>
      </c>
      <c r="D1785" t="s">
        <v>5860</v>
      </c>
      <c r="E1785">
        <v>2</v>
      </c>
      <c r="F1785" t="s">
        <v>5827</v>
      </c>
      <c r="G1785" t="s">
        <v>5600</v>
      </c>
      <c r="H1785" t="s">
        <v>5861</v>
      </c>
      <c r="I1785" t="s">
        <v>5862</v>
      </c>
    </row>
    <row r="1786" spans="1:9">
      <c r="A1786" t="str">
        <f>"0029914 "</f>
        <v xml:space="preserve">0029914 </v>
      </c>
      <c r="B1786" t="s">
        <v>5597</v>
      </c>
      <c r="C1786" t="str">
        <f>"068 = 93323E"</f>
        <v>068 = 93323E</v>
      </c>
      <c r="D1786" t="s">
        <v>5863</v>
      </c>
      <c r="E1786">
        <v>1</v>
      </c>
      <c r="F1786" t="s">
        <v>5864</v>
      </c>
      <c r="G1786" t="s">
        <v>5600</v>
      </c>
      <c r="H1786" t="s">
        <v>5865</v>
      </c>
      <c r="I1786" t="s">
        <v>5866</v>
      </c>
    </row>
    <row r="1787" spans="1:9">
      <c r="A1787" t="str">
        <f>"0029915 "</f>
        <v xml:space="preserve">0029915 </v>
      </c>
      <c r="B1787" t="s">
        <v>5597</v>
      </c>
      <c r="C1787" t="str">
        <f>"069 = 93324E"</f>
        <v>069 = 93324E</v>
      </c>
      <c r="D1787" t="s">
        <v>5867</v>
      </c>
      <c r="E1787">
        <v>2</v>
      </c>
      <c r="F1787" t="s">
        <v>5868</v>
      </c>
      <c r="G1787" t="s">
        <v>5600</v>
      </c>
      <c r="H1787" t="s">
        <v>5869</v>
      </c>
      <c r="I1787" t="s">
        <v>5870</v>
      </c>
    </row>
    <row r="1788" spans="1:9">
      <c r="A1788" t="str">
        <f>"0029919 "</f>
        <v xml:space="preserve">0029919 </v>
      </c>
      <c r="B1788" t="s">
        <v>5597</v>
      </c>
      <c r="C1788" t="str">
        <f>"071 = WA6236"</f>
        <v>071 = WA6236</v>
      </c>
      <c r="D1788" t="s">
        <v>5871</v>
      </c>
      <c r="E1788">
        <v>1</v>
      </c>
      <c r="F1788" t="s">
        <v>5872</v>
      </c>
      <c r="G1788" t="s">
        <v>5600</v>
      </c>
      <c r="H1788" t="s">
        <v>5873</v>
      </c>
      <c r="I1788" t="s">
        <v>5874</v>
      </c>
    </row>
    <row r="1789" spans="1:9">
      <c r="A1789" t="str">
        <f>"0029922 "</f>
        <v xml:space="preserve">0029922 </v>
      </c>
      <c r="B1789" t="s">
        <v>5597</v>
      </c>
      <c r="C1789" t="str">
        <f>"072 = WA6238"</f>
        <v>072 = WA6238</v>
      </c>
      <c r="D1789" t="s">
        <v>5875</v>
      </c>
      <c r="E1789">
        <v>1</v>
      </c>
      <c r="F1789" t="s">
        <v>5876</v>
      </c>
      <c r="G1789" t="s">
        <v>5600</v>
      </c>
      <c r="H1789" t="s">
        <v>5877</v>
      </c>
      <c r="I1789" t="s">
        <v>225</v>
      </c>
    </row>
    <row r="1790" spans="1:9">
      <c r="A1790" t="str">
        <f>"0029923 "</f>
        <v xml:space="preserve">0029923 </v>
      </c>
      <c r="B1790" t="s">
        <v>5597</v>
      </c>
      <c r="C1790" t="str">
        <f>"072/1 = WA9507"</f>
        <v>072/1 = WA9507</v>
      </c>
      <c r="D1790" t="s">
        <v>5878</v>
      </c>
      <c r="E1790">
        <v>1</v>
      </c>
      <c r="F1790" t="s">
        <v>5879</v>
      </c>
      <c r="G1790" t="s">
        <v>5600</v>
      </c>
      <c r="H1790" t="s">
        <v>5880</v>
      </c>
      <c r="I1790" t="s">
        <v>5881</v>
      </c>
    </row>
    <row r="1791" spans="1:9">
      <c r="A1791" t="str">
        <f>"0116664 "</f>
        <v xml:space="preserve">0116664 </v>
      </c>
      <c r="B1791" t="s">
        <v>5597</v>
      </c>
      <c r="C1791" t="str">
        <f>"072/4 = WA9734"</f>
        <v>072/4 = WA9734</v>
      </c>
      <c r="D1791" t="s">
        <v>5882</v>
      </c>
      <c r="E1791">
        <v>1</v>
      </c>
      <c r="F1791" t="s">
        <v>5883</v>
      </c>
      <c r="G1791" t="s">
        <v>5600</v>
      </c>
      <c r="H1791" t="s">
        <v>5884</v>
      </c>
      <c r="I1791" t="s">
        <v>5885</v>
      </c>
    </row>
    <row r="1792" spans="1:9">
      <c r="A1792" t="str">
        <f>"0029925 "</f>
        <v xml:space="preserve">0029925 </v>
      </c>
      <c r="B1792" t="s">
        <v>5597</v>
      </c>
      <c r="C1792" t="str">
        <f>"073 = WA6239"</f>
        <v>073 = WA6239</v>
      </c>
      <c r="D1792" t="s">
        <v>5886</v>
      </c>
      <c r="E1792">
        <v>4</v>
      </c>
      <c r="F1792" t="s">
        <v>5692</v>
      </c>
      <c r="G1792" t="s">
        <v>5600</v>
      </c>
      <c r="H1792" t="s">
        <v>5887</v>
      </c>
      <c r="I1792" t="s">
        <v>164</v>
      </c>
    </row>
    <row r="1793" spans="1:9">
      <c r="A1793" t="str">
        <f>"0029926 "</f>
        <v xml:space="preserve">0029926 </v>
      </c>
      <c r="B1793" t="s">
        <v>5597</v>
      </c>
      <c r="C1793" t="str">
        <f>"074 = WA6240"</f>
        <v>074 = WA6240</v>
      </c>
      <c r="D1793" t="s">
        <v>5888</v>
      </c>
      <c r="E1793">
        <v>2</v>
      </c>
      <c r="F1793" t="s">
        <v>4130</v>
      </c>
      <c r="G1793" t="s">
        <v>5600</v>
      </c>
      <c r="H1793" t="s">
        <v>5889</v>
      </c>
      <c r="I1793" t="s">
        <v>5890</v>
      </c>
    </row>
    <row r="1794" spans="1:9">
      <c r="A1794" t="str">
        <f>"0029927 "</f>
        <v xml:space="preserve">0029927 </v>
      </c>
      <c r="B1794" t="s">
        <v>5597</v>
      </c>
      <c r="C1794" t="str">
        <f>"074/1 = WA6535"</f>
        <v>074/1 = WA6535</v>
      </c>
      <c r="D1794" t="s">
        <v>5891</v>
      </c>
      <c r="E1794" t="s">
        <v>20</v>
      </c>
      <c r="F1794" t="s">
        <v>5776</v>
      </c>
      <c r="G1794" t="s">
        <v>5600</v>
      </c>
      <c r="H1794" t="s">
        <v>5892</v>
      </c>
      <c r="I1794" t="s">
        <v>5893</v>
      </c>
    </row>
    <row r="1795" spans="1:9">
      <c r="A1795" t="str">
        <f>"0029929 "</f>
        <v xml:space="preserve">0029929 </v>
      </c>
      <c r="B1795" t="s">
        <v>5597</v>
      </c>
      <c r="C1795" t="str">
        <f>"074/3 = WA6674"</f>
        <v>074/3 = WA6674</v>
      </c>
      <c r="D1795" t="s">
        <v>5894</v>
      </c>
      <c r="E1795">
        <v>1</v>
      </c>
      <c r="F1795" t="s">
        <v>5895</v>
      </c>
      <c r="G1795" t="s">
        <v>5600</v>
      </c>
      <c r="H1795" t="s">
        <v>5896</v>
      </c>
      <c r="I1795" t="s">
        <v>5897</v>
      </c>
    </row>
    <row r="1796" spans="1:9">
      <c r="A1796" t="str">
        <f>"0029930 "</f>
        <v xml:space="preserve">0029930 </v>
      </c>
      <c r="B1796" t="s">
        <v>5597</v>
      </c>
      <c r="C1796" t="str">
        <f>"074/4 = WA9406"</f>
        <v>074/4 = WA9406</v>
      </c>
      <c r="D1796" t="s">
        <v>5898</v>
      </c>
      <c r="E1796">
        <v>1</v>
      </c>
      <c r="F1796" t="s">
        <v>5899</v>
      </c>
      <c r="G1796" t="s">
        <v>5600</v>
      </c>
      <c r="H1796" t="s">
        <v>5900</v>
      </c>
      <c r="I1796" t="s">
        <v>5901</v>
      </c>
    </row>
    <row r="1797" spans="1:9">
      <c r="A1797" t="str">
        <f>"0116665 "</f>
        <v xml:space="preserve">0116665 </v>
      </c>
      <c r="B1797" t="s">
        <v>5597</v>
      </c>
      <c r="C1797" t="str">
        <f>"078/1 = WA9666"</f>
        <v>078/1 = WA9666</v>
      </c>
      <c r="D1797" t="s">
        <v>5902</v>
      </c>
      <c r="E1797">
        <v>1</v>
      </c>
      <c r="F1797" t="s">
        <v>466</v>
      </c>
      <c r="G1797" t="s">
        <v>5600</v>
      </c>
      <c r="H1797" t="s">
        <v>5903</v>
      </c>
      <c r="I1797" t="s">
        <v>5904</v>
      </c>
    </row>
    <row r="1798" spans="1:9">
      <c r="A1798" t="str">
        <f>"0116666 "</f>
        <v xml:space="preserve">0116666 </v>
      </c>
      <c r="B1798" t="s">
        <v>5597</v>
      </c>
      <c r="C1798" t="str">
        <f>"078/2 = WA9731"</f>
        <v>078/2 = WA9731</v>
      </c>
      <c r="D1798" t="s">
        <v>5905</v>
      </c>
      <c r="E1798">
        <v>1</v>
      </c>
      <c r="F1798" t="s">
        <v>5906</v>
      </c>
      <c r="G1798" t="s">
        <v>5600</v>
      </c>
      <c r="H1798" t="s">
        <v>5907</v>
      </c>
      <c r="I1798" t="s">
        <v>5908</v>
      </c>
    </row>
    <row r="1799" spans="1:9">
      <c r="A1799" t="str">
        <f>"0029938 "</f>
        <v xml:space="preserve">0029938 </v>
      </c>
      <c r="B1799" t="s">
        <v>5597</v>
      </c>
      <c r="C1799" t="str">
        <f>"080 = WA6246"</f>
        <v>080 = WA6246</v>
      </c>
      <c r="D1799" t="s">
        <v>5909</v>
      </c>
      <c r="E1799">
        <v>1</v>
      </c>
      <c r="F1799" t="s">
        <v>5910</v>
      </c>
      <c r="G1799" t="s">
        <v>5600</v>
      </c>
      <c r="H1799" t="s">
        <v>5911</v>
      </c>
      <c r="I1799" t="s">
        <v>4450</v>
      </c>
    </row>
    <row r="1800" spans="1:9">
      <c r="A1800" t="str">
        <f>"0029940 "</f>
        <v xml:space="preserve">0029940 </v>
      </c>
      <c r="B1800" t="s">
        <v>5597</v>
      </c>
      <c r="C1800" t="str">
        <f>"080/10 = WA9409"</f>
        <v>080/10 = WA9409</v>
      </c>
      <c r="D1800" t="s">
        <v>5912</v>
      </c>
      <c r="E1800">
        <v>5</v>
      </c>
      <c r="F1800" t="s">
        <v>5913</v>
      </c>
      <c r="G1800" t="s">
        <v>5600</v>
      </c>
      <c r="H1800" t="s">
        <v>5914</v>
      </c>
      <c r="I1800" t="s">
        <v>5915</v>
      </c>
    </row>
    <row r="1801" spans="1:9">
      <c r="A1801" t="str">
        <f>"0029947 "</f>
        <v xml:space="preserve">0029947 </v>
      </c>
      <c r="B1801" t="s">
        <v>5597</v>
      </c>
      <c r="C1801" t="str">
        <f>"080/8 = WA6669"</f>
        <v>080/8 = WA6669</v>
      </c>
      <c r="D1801" t="s">
        <v>5916</v>
      </c>
      <c r="E1801">
        <v>1</v>
      </c>
      <c r="F1801" t="s">
        <v>4006</v>
      </c>
      <c r="G1801" t="s">
        <v>5600</v>
      </c>
      <c r="H1801" t="s">
        <v>5917</v>
      </c>
      <c r="I1801" t="s">
        <v>293</v>
      </c>
    </row>
    <row r="1802" spans="1:9">
      <c r="A1802" t="str">
        <f>"0029950 "</f>
        <v xml:space="preserve">0029950 </v>
      </c>
      <c r="B1802" t="s">
        <v>5597</v>
      </c>
      <c r="C1802" t="str">
        <f>"082 = WA6249"</f>
        <v>082 = WA6249</v>
      </c>
      <c r="D1802" t="s">
        <v>5918</v>
      </c>
      <c r="E1802">
        <v>5</v>
      </c>
      <c r="F1802" t="s">
        <v>5919</v>
      </c>
      <c r="G1802" t="s">
        <v>5600</v>
      </c>
      <c r="H1802" t="s">
        <v>5920</v>
      </c>
      <c r="I1802" t="s">
        <v>5921</v>
      </c>
    </row>
    <row r="1803" spans="1:9">
      <c r="A1803" t="str">
        <f>"0029951 "</f>
        <v xml:space="preserve">0029951 </v>
      </c>
      <c r="B1803" t="s">
        <v>5597</v>
      </c>
      <c r="C1803" t="str">
        <f>"082/1 = WA6250"</f>
        <v>082/1 = WA6250</v>
      </c>
      <c r="D1803" t="s">
        <v>5922</v>
      </c>
      <c r="E1803" t="s">
        <v>20</v>
      </c>
      <c r="F1803" t="s">
        <v>5692</v>
      </c>
      <c r="G1803" t="s">
        <v>5600</v>
      </c>
      <c r="H1803" t="s">
        <v>5923</v>
      </c>
      <c r="I1803" t="s">
        <v>5924</v>
      </c>
    </row>
    <row r="1804" spans="1:9">
      <c r="A1804" t="str">
        <f>"0029952 "</f>
        <v xml:space="preserve">0029952 </v>
      </c>
      <c r="B1804" t="s">
        <v>5597</v>
      </c>
      <c r="C1804" t="str">
        <f>"082/2 = WA6251"</f>
        <v>082/2 = WA6251</v>
      </c>
      <c r="D1804" t="s">
        <v>5925</v>
      </c>
      <c r="E1804">
        <v>1</v>
      </c>
      <c r="F1804" t="s">
        <v>5926</v>
      </c>
      <c r="G1804" t="s">
        <v>5600</v>
      </c>
      <c r="H1804" t="s">
        <v>5927</v>
      </c>
      <c r="I1804" t="s">
        <v>5928</v>
      </c>
    </row>
    <row r="1805" spans="1:9">
      <c r="A1805" t="str">
        <f>"0029954 "</f>
        <v xml:space="preserve">0029954 </v>
      </c>
      <c r="B1805" t="s">
        <v>5597</v>
      </c>
      <c r="C1805" t="str">
        <f>"082/4 = WA6253"</f>
        <v>082/4 = WA6253</v>
      </c>
      <c r="D1805" t="s">
        <v>5929</v>
      </c>
      <c r="E1805">
        <v>3</v>
      </c>
      <c r="F1805" t="s">
        <v>5930</v>
      </c>
      <c r="G1805" t="s">
        <v>5600</v>
      </c>
      <c r="H1805" t="s">
        <v>5931</v>
      </c>
      <c r="I1805" t="s">
        <v>370</v>
      </c>
    </row>
    <row r="1806" spans="1:9">
      <c r="A1806" t="str">
        <f>"0029955 "</f>
        <v xml:space="preserve">0029955 </v>
      </c>
      <c r="B1806" t="s">
        <v>5597</v>
      </c>
      <c r="C1806" t="str">
        <f>"082/5 = WA9439"</f>
        <v>082/5 = WA9439</v>
      </c>
      <c r="D1806" t="s">
        <v>5932</v>
      </c>
      <c r="E1806">
        <v>4</v>
      </c>
      <c r="F1806" t="s">
        <v>5933</v>
      </c>
      <c r="G1806" t="s">
        <v>5600</v>
      </c>
      <c r="H1806" t="s">
        <v>5934</v>
      </c>
      <c r="I1806" t="s">
        <v>5935</v>
      </c>
    </row>
    <row r="1807" spans="1:9">
      <c r="A1807" t="str">
        <f>"0029956 "</f>
        <v xml:space="preserve">0029956 </v>
      </c>
      <c r="B1807" t="s">
        <v>5597</v>
      </c>
      <c r="C1807" t="str">
        <f>"082/6 = WA9440"</f>
        <v>082/6 = WA9440</v>
      </c>
      <c r="D1807" t="s">
        <v>5936</v>
      </c>
      <c r="E1807" t="s">
        <v>20</v>
      </c>
      <c r="F1807" t="s">
        <v>5937</v>
      </c>
      <c r="G1807" t="s">
        <v>5600</v>
      </c>
      <c r="H1807" t="s">
        <v>5938</v>
      </c>
      <c r="I1807" t="s">
        <v>3654</v>
      </c>
    </row>
    <row r="1808" spans="1:9">
      <c r="A1808" t="str">
        <f>"0029957 "</f>
        <v xml:space="preserve">0029957 </v>
      </c>
      <c r="B1808" t="s">
        <v>5597</v>
      </c>
      <c r="C1808" t="str">
        <f>"082/7 = WA9487"</f>
        <v>082/7 = WA9487</v>
      </c>
      <c r="D1808" t="s">
        <v>5939</v>
      </c>
      <c r="E1808">
        <v>1</v>
      </c>
      <c r="F1808" t="s">
        <v>4006</v>
      </c>
      <c r="G1808" t="s">
        <v>5600</v>
      </c>
      <c r="H1808" t="s">
        <v>5940</v>
      </c>
      <c r="I1808" t="s">
        <v>5941</v>
      </c>
    </row>
    <row r="1809" spans="1:9">
      <c r="A1809" t="str">
        <f>"0038159 "</f>
        <v xml:space="preserve">0038159 </v>
      </c>
      <c r="B1809" t="s">
        <v>5597</v>
      </c>
      <c r="C1809" t="str">
        <f>"082/8 = WA9639"</f>
        <v>082/8 = WA9639</v>
      </c>
      <c r="D1809" t="s">
        <v>5942</v>
      </c>
      <c r="E1809">
        <v>1</v>
      </c>
      <c r="F1809" t="s">
        <v>5943</v>
      </c>
      <c r="G1809" t="s">
        <v>5600</v>
      </c>
      <c r="H1809" t="s">
        <v>5944</v>
      </c>
      <c r="I1809" t="s">
        <v>5945</v>
      </c>
    </row>
    <row r="1810" spans="1:9">
      <c r="A1810" t="str">
        <f>"0029962 "</f>
        <v xml:space="preserve">0029962 </v>
      </c>
      <c r="B1810" t="s">
        <v>5597</v>
      </c>
      <c r="C1810" t="str">
        <f>"088 = WA6259"</f>
        <v>088 = WA6259</v>
      </c>
      <c r="D1810" t="s">
        <v>5946</v>
      </c>
      <c r="E1810">
        <v>1</v>
      </c>
      <c r="F1810" t="s">
        <v>3024</v>
      </c>
      <c r="G1810" t="s">
        <v>5600</v>
      </c>
      <c r="H1810" t="s">
        <v>5947</v>
      </c>
      <c r="I1810" t="s">
        <v>5948</v>
      </c>
    </row>
    <row r="1811" spans="1:9">
      <c r="A1811" t="str">
        <f>"0029963 "</f>
        <v xml:space="preserve">0029963 </v>
      </c>
      <c r="B1811" t="s">
        <v>5597</v>
      </c>
      <c r="C1811" t="str">
        <f>"089 = WA6260"</f>
        <v>089 = WA6260</v>
      </c>
      <c r="D1811" t="s">
        <v>5949</v>
      </c>
      <c r="E1811">
        <v>1</v>
      </c>
      <c r="F1811" t="s">
        <v>5950</v>
      </c>
      <c r="G1811" t="s">
        <v>5600</v>
      </c>
      <c r="H1811" t="s">
        <v>5951</v>
      </c>
      <c r="I1811" t="s">
        <v>229</v>
      </c>
    </row>
    <row r="1812" spans="1:9">
      <c r="A1812" t="str">
        <f>"0029965 "</f>
        <v xml:space="preserve">0029965 </v>
      </c>
      <c r="B1812" t="s">
        <v>5597</v>
      </c>
      <c r="C1812" t="str">
        <f>"090 = WA6262"</f>
        <v>090 = WA6262</v>
      </c>
      <c r="D1812" t="s">
        <v>5952</v>
      </c>
      <c r="E1812">
        <v>2</v>
      </c>
      <c r="F1812" t="s">
        <v>5953</v>
      </c>
      <c r="G1812" t="s">
        <v>5600</v>
      </c>
      <c r="H1812" t="s">
        <v>5954</v>
      </c>
      <c r="I1812" t="s">
        <v>5955</v>
      </c>
    </row>
    <row r="1813" spans="1:9">
      <c r="A1813" t="str">
        <f>"0029971 "</f>
        <v xml:space="preserve">0029971 </v>
      </c>
      <c r="B1813" t="s">
        <v>5597</v>
      </c>
      <c r="C1813" t="str">
        <f>"090/6 = WA9559"</f>
        <v>090/6 = WA9559</v>
      </c>
      <c r="D1813" t="s">
        <v>5956</v>
      </c>
      <c r="E1813">
        <v>2</v>
      </c>
      <c r="F1813" t="s">
        <v>5957</v>
      </c>
      <c r="G1813" t="s">
        <v>5600</v>
      </c>
      <c r="H1813" t="s">
        <v>5958</v>
      </c>
      <c r="I1813" t="s">
        <v>516</v>
      </c>
    </row>
    <row r="1814" spans="1:9">
      <c r="A1814" t="str">
        <f>"0029977 "</f>
        <v xml:space="preserve">0029977 </v>
      </c>
      <c r="B1814" t="s">
        <v>5597</v>
      </c>
      <c r="C1814" t="str">
        <f>"092/3 = WA6769"</f>
        <v>092/3 = WA6769</v>
      </c>
      <c r="D1814" t="s">
        <v>5959</v>
      </c>
      <c r="E1814">
        <v>2</v>
      </c>
      <c r="F1814" t="s">
        <v>5666</v>
      </c>
      <c r="G1814" t="s">
        <v>5600</v>
      </c>
      <c r="H1814" t="s">
        <v>5960</v>
      </c>
      <c r="I1814" t="s">
        <v>5961</v>
      </c>
    </row>
    <row r="1815" spans="1:9">
      <c r="A1815" t="str">
        <f>"0029980 "</f>
        <v xml:space="preserve">0029980 </v>
      </c>
      <c r="B1815" t="s">
        <v>5597</v>
      </c>
      <c r="C1815" t="str">
        <f>"092/6 = WA9459"</f>
        <v>092/6 = WA9459</v>
      </c>
      <c r="D1815" t="s">
        <v>5962</v>
      </c>
      <c r="E1815">
        <v>3</v>
      </c>
      <c r="F1815" t="s">
        <v>5762</v>
      </c>
      <c r="G1815" t="s">
        <v>5600</v>
      </c>
      <c r="H1815" t="s">
        <v>5963</v>
      </c>
      <c r="I1815" t="s">
        <v>5964</v>
      </c>
    </row>
    <row r="1816" spans="1:9">
      <c r="A1816" t="str">
        <f>"0029981 "</f>
        <v xml:space="preserve">0029981 </v>
      </c>
      <c r="B1816" t="s">
        <v>5597</v>
      </c>
      <c r="C1816" t="str">
        <f>"092/7 = WA9528"</f>
        <v>092/7 = WA9528</v>
      </c>
      <c r="D1816" t="s">
        <v>5965</v>
      </c>
      <c r="E1816">
        <v>3</v>
      </c>
      <c r="F1816" t="s">
        <v>5966</v>
      </c>
      <c r="G1816" t="s">
        <v>5600</v>
      </c>
      <c r="H1816" t="s">
        <v>5967</v>
      </c>
      <c r="I1816" t="s">
        <v>5968</v>
      </c>
    </row>
    <row r="1817" spans="1:9">
      <c r="A1817" t="str">
        <f>"0116670 "</f>
        <v xml:space="preserve">0116670 </v>
      </c>
      <c r="B1817" t="s">
        <v>5597</v>
      </c>
      <c r="C1817" t="str">
        <f>"093/3 = WA9747"</f>
        <v>093/3 = WA9747</v>
      </c>
      <c r="D1817" t="s">
        <v>5969</v>
      </c>
      <c r="E1817">
        <v>1</v>
      </c>
      <c r="F1817" t="s">
        <v>5970</v>
      </c>
      <c r="G1817" t="s">
        <v>5600</v>
      </c>
      <c r="H1817" t="s">
        <v>5971</v>
      </c>
      <c r="I1817" t="s">
        <v>5972</v>
      </c>
    </row>
    <row r="1818" spans="1:9">
      <c r="A1818" t="str">
        <f>"0029993 "</f>
        <v xml:space="preserve">0029993 </v>
      </c>
      <c r="B1818" t="s">
        <v>5597</v>
      </c>
      <c r="C1818" t="str">
        <f>"098/3 = WA9560"</f>
        <v>098/3 = WA9560</v>
      </c>
      <c r="D1818" t="s">
        <v>5973</v>
      </c>
      <c r="E1818">
        <v>2</v>
      </c>
      <c r="F1818" t="s">
        <v>4498</v>
      </c>
      <c r="G1818" t="s">
        <v>5600</v>
      </c>
      <c r="H1818" t="s">
        <v>5974</v>
      </c>
      <c r="I1818" t="s">
        <v>5975</v>
      </c>
    </row>
    <row r="1819" spans="1:9">
      <c r="A1819" t="str">
        <f>"0029994 "</f>
        <v xml:space="preserve">0029994 </v>
      </c>
      <c r="B1819" t="s">
        <v>5597</v>
      </c>
      <c r="C1819" t="str">
        <f>"099 = WA6276"</f>
        <v>099 = WA6276</v>
      </c>
      <c r="D1819" t="s">
        <v>5976</v>
      </c>
      <c r="E1819">
        <v>1</v>
      </c>
      <c r="F1819" t="s">
        <v>5977</v>
      </c>
      <c r="G1819" t="s">
        <v>5600</v>
      </c>
      <c r="H1819" t="s">
        <v>5978</v>
      </c>
      <c r="I1819" t="s">
        <v>5979</v>
      </c>
    </row>
    <row r="1820" spans="1:9">
      <c r="A1820" t="str">
        <f>"0029996 "</f>
        <v xml:space="preserve">0029996 </v>
      </c>
      <c r="B1820" t="s">
        <v>5597</v>
      </c>
      <c r="C1820" t="s">
        <v>5980</v>
      </c>
      <c r="D1820" t="s">
        <v>5981</v>
      </c>
      <c r="E1820">
        <v>3</v>
      </c>
      <c r="F1820" t="s">
        <v>5982</v>
      </c>
      <c r="G1820" t="s">
        <v>5600</v>
      </c>
      <c r="H1820" t="s">
        <v>5983</v>
      </c>
      <c r="I1820" t="s">
        <v>5984</v>
      </c>
    </row>
    <row r="1821" spans="1:9">
      <c r="A1821" t="str">
        <f>"0029998 "</f>
        <v xml:space="preserve">0029998 </v>
      </c>
      <c r="B1821" t="s">
        <v>5597</v>
      </c>
      <c r="C1821" t="s">
        <v>5985</v>
      </c>
      <c r="D1821" t="s">
        <v>5986</v>
      </c>
      <c r="E1821">
        <v>4</v>
      </c>
      <c r="F1821" t="s">
        <v>5987</v>
      </c>
      <c r="G1821" t="s">
        <v>5600</v>
      </c>
      <c r="H1821" t="s">
        <v>5988</v>
      </c>
      <c r="I1821" t="s">
        <v>5989</v>
      </c>
    </row>
    <row r="1822" spans="1:9">
      <c r="A1822" t="str">
        <f>"0030002 "</f>
        <v xml:space="preserve">0030002 </v>
      </c>
      <c r="B1822" t="s">
        <v>5597</v>
      </c>
      <c r="C1822" t="s">
        <v>5990</v>
      </c>
      <c r="D1822" t="s">
        <v>5991</v>
      </c>
      <c r="E1822">
        <v>1</v>
      </c>
      <c r="F1822" t="s">
        <v>5992</v>
      </c>
      <c r="G1822" t="s">
        <v>5600</v>
      </c>
      <c r="H1822" t="s">
        <v>5993</v>
      </c>
      <c r="I1822" t="s">
        <v>5994</v>
      </c>
    </row>
    <row r="1823" spans="1:9">
      <c r="A1823" t="str">
        <f>"0030003 "</f>
        <v xml:space="preserve">0030003 </v>
      </c>
      <c r="B1823" t="s">
        <v>5597</v>
      </c>
      <c r="C1823" t="s">
        <v>5995</v>
      </c>
      <c r="D1823" t="s">
        <v>5996</v>
      </c>
      <c r="E1823">
        <v>2</v>
      </c>
      <c r="F1823" t="s">
        <v>5997</v>
      </c>
      <c r="G1823" t="s">
        <v>5600</v>
      </c>
      <c r="H1823" t="s">
        <v>5998</v>
      </c>
      <c r="I1823" t="s">
        <v>769</v>
      </c>
    </row>
    <row r="1824" spans="1:9">
      <c r="A1824" t="str">
        <f>"0030006 "</f>
        <v xml:space="preserve">0030006 </v>
      </c>
      <c r="B1824" t="s">
        <v>5597</v>
      </c>
      <c r="C1824" t="s">
        <v>5999</v>
      </c>
      <c r="D1824" t="s">
        <v>6000</v>
      </c>
      <c r="E1824" t="s">
        <v>20</v>
      </c>
      <c r="F1824" t="s">
        <v>6001</v>
      </c>
      <c r="G1824" t="s">
        <v>5600</v>
      </c>
      <c r="H1824" t="s">
        <v>6002</v>
      </c>
      <c r="I1824" t="s">
        <v>2710</v>
      </c>
    </row>
    <row r="1825" spans="1:9">
      <c r="A1825" t="str">
        <f>"0030007 "</f>
        <v xml:space="preserve">0030007 </v>
      </c>
      <c r="B1825" t="s">
        <v>5597</v>
      </c>
      <c r="C1825" t="s">
        <v>6003</v>
      </c>
      <c r="D1825" t="s">
        <v>6004</v>
      </c>
      <c r="E1825">
        <v>1</v>
      </c>
      <c r="F1825" t="s">
        <v>6005</v>
      </c>
      <c r="G1825" t="s">
        <v>5600</v>
      </c>
      <c r="H1825" t="s">
        <v>6006</v>
      </c>
      <c r="I1825" t="s">
        <v>6007</v>
      </c>
    </row>
    <row r="1826" spans="1:9">
      <c r="A1826" t="str">
        <f>"0030009 "</f>
        <v xml:space="preserve">0030009 </v>
      </c>
      <c r="B1826" t="s">
        <v>5597</v>
      </c>
      <c r="C1826" t="s">
        <v>6008</v>
      </c>
      <c r="D1826" t="s">
        <v>6009</v>
      </c>
      <c r="E1826">
        <v>1</v>
      </c>
      <c r="F1826" t="s">
        <v>6010</v>
      </c>
      <c r="G1826" t="s">
        <v>5600</v>
      </c>
      <c r="H1826" t="s">
        <v>6011</v>
      </c>
      <c r="I1826" t="s">
        <v>6012</v>
      </c>
    </row>
    <row r="1827" spans="1:9">
      <c r="A1827" t="str">
        <f>"0030011 "</f>
        <v xml:space="preserve">0030011 </v>
      </c>
      <c r="B1827" t="s">
        <v>5597</v>
      </c>
      <c r="C1827" t="s">
        <v>6013</v>
      </c>
      <c r="D1827" t="s">
        <v>6014</v>
      </c>
      <c r="E1827">
        <v>2</v>
      </c>
      <c r="F1827" t="s">
        <v>6015</v>
      </c>
      <c r="G1827" t="s">
        <v>5600</v>
      </c>
      <c r="H1827" t="s">
        <v>6016</v>
      </c>
      <c r="I1827" t="s">
        <v>6017</v>
      </c>
    </row>
    <row r="1828" spans="1:9">
      <c r="A1828" t="str">
        <f>"0030018 "</f>
        <v xml:space="preserve">0030018 </v>
      </c>
      <c r="B1828" t="s">
        <v>5597</v>
      </c>
      <c r="C1828" t="s">
        <v>6018</v>
      </c>
      <c r="D1828" t="s">
        <v>6019</v>
      </c>
      <c r="E1828">
        <v>4</v>
      </c>
      <c r="F1828" t="s">
        <v>6020</v>
      </c>
      <c r="G1828" t="s">
        <v>5600</v>
      </c>
      <c r="H1828" t="s">
        <v>6021</v>
      </c>
      <c r="I1828" t="s">
        <v>6022</v>
      </c>
    </row>
    <row r="1829" spans="1:9">
      <c r="A1829" t="str">
        <f>"0030021 "</f>
        <v xml:space="preserve">0030021 </v>
      </c>
      <c r="B1829" t="s">
        <v>5597</v>
      </c>
      <c r="C1829" t="s">
        <v>6023</v>
      </c>
      <c r="D1829" t="s">
        <v>6024</v>
      </c>
      <c r="E1829">
        <v>1</v>
      </c>
      <c r="F1829" t="s">
        <v>6025</v>
      </c>
      <c r="G1829" t="s">
        <v>5600</v>
      </c>
      <c r="H1829" t="s">
        <v>6026</v>
      </c>
      <c r="I1829" t="s">
        <v>4502</v>
      </c>
    </row>
    <row r="1830" spans="1:9">
      <c r="A1830" t="str">
        <f>"0030024 "</f>
        <v xml:space="preserve">0030024 </v>
      </c>
      <c r="B1830" t="s">
        <v>5597</v>
      </c>
      <c r="C1830" t="s">
        <v>6027</v>
      </c>
      <c r="D1830" t="s">
        <v>6028</v>
      </c>
      <c r="E1830">
        <v>1</v>
      </c>
      <c r="F1830" t="s">
        <v>6029</v>
      </c>
      <c r="G1830" t="s">
        <v>5600</v>
      </c>
      <c r="H1830" t="s">
        <v>6030</v>
      </c>
      <c r="I1830" t="s">
        <v>6031</v>
      </c>
    </row>
    <row r="1831" spans="1:9">
      <c r="A1831" t="str">
        <f>"0030026 "</f>
        <v xml:space="preserve">0030026 </v>
      </c>
      <c r="B1831" t="s">
        <v>5597</v>
      </c>
      <c r="C1831" t="s">
        <v>6032</v>
      </c>
      <c r="D1831" t="s">
        <v>6033</v>
      </c>
      <c r="E1831">
        <v>1</v>
      </c>
      <c r="F1831" t="s">
        <v>6034</v>
      </c>
      <c r="G1831" t="s">
        <v>5600</v>
      </c>
      <c r="H1831" t="s">
        <v>6035</v>
      </c>
      <c r="I1831" t="s">
        <v>6036</v>
      </c>
    </row>
    <row r="1832" spans="1:9">
      <c r="A1832" t="str">
        <f>"0030029 "</f>
        <v xml:space="preserve">0030029 </v>
      </c>
      <c r="B1832" t="s">
        <v>5597</v>
      </c>
      <c r="C1832" t="s">
        <v>6037</v>
      </c>
      <c r="D1832" t="s">
        <v>6038</v>
      </c>
      <c r="E1832">
        <v>1</v>
      </c>
      <c r="F1832" t="s">
        <v>6039</v>
      </c>
      <c r="G1832" t="s">
        <v>5600</v>
      </c>
      <c r="H1832" t="s">
        <v>6040</v>
      </c>
      <c r="I1832" t="s">
        <v>6041</v>
      </c>
    </row>
    <row r="1833" spans="1:9">
      <c r="A1833" t="str">
        <f>"0030032 "</f>
        <v xml:space="preserve">0030032 </v>
      </c>
      <c r="B1833" t="s">
        <v>5597</v>
      </c>
      <c r="C1833" t="s">
        <v>6042</v>
      </c>
      <c r="D1833" t="s">
        <v>6043</v>
      </c>
      <c r="E1833">
        <v>1</v>
      </c>
      <c r="F1833" t="s">
        <v>6044</v>
      </c>
      <c r="G1833" t="s">
        <v>5600</v>
      </c>
      <c r="H1833" t="s">
        <v>6045</v>
      </c>
      <c r="I1833" t="s">
        <v>6046</v>
      </c>
    </row>
    <row r="1834" spans="1:9">
      <c r="A1834" t="str">
        <f>"0030036 "</f>
        <v xml:space="preserve">0030036 </v>
      </c>
      <c r="B1834" t="s">
        <v>5597</v>
      </c>
      <c r="C1834" t="s">
        <v>6047</v>
      </c>
      <c r="D1834" t="s">
        <v>6048</v>
      </c>
      <c r="E1834">
        <v>1</v>
      </c>
      <c r="F1834" t="s">
        <v>6049</v>
      </c>
      <c r="G1834" t="s">
        <v>5600</v>
      </c>
      <c r="H1834" t="s">
        <v>6050</v>
      </c>
      <c r="I1834" t="s">
        <v>6051</v>
      </c>
    </row>
    <row r="1835" spans="1:9">
      <c r="A1835" t="str">
        <f>"0030039 "</f>
        <v xml:space="preserve">0030039 </v>
      </c>
      <c r="B1835" t="s">
        <v>5597</v>
      </c>
      <c r="C1835" t="s">
        <v>6052</v>
      </c>
      <c r="D1835" t="s">
        <v>6053</v>
      </c>
      <c r="E1835">
        <v>1</v>
      </c>
      <c r="F1835" t="s">
        <v>6054</v>
      </c>
      <c r="G1835" t="s">
        <v>5600</v>
      </c>
      <c r="H1835" t="s">
        <v>6055</v>
      </c>
      <c r="I1835" t="s">
        <v>6056</v>
      </c>
    </row>
    <row r="1836" spans="1:9">
      <c r="A1836" t="str">
        <f>"0030042 "</f>
        <v xml:space="preserve">0030042 </v>
      </c>
      <c r="B1836" t="s">
        <v>5597</v>
      </c>
      <c r="C1836" t="s">
        <v>6057</v>
      </c>
      <c r="D1836" t="s">
        <v>6058</v>
      </c>
      <c r="E1836">
        <v>1</v>
      </c>
      <c r="F1836" t="s">
        <v>6059</v>
      </c>
      <c r="G1836" t="s">
        <v>5600</v>
      </c>
      <c r="H1836" t="s">
        <v>6060</v>
      </c>
      <c r="I1836" t="s">
        <v>6061</v>
      </c>
    </row>
    <row r="1837" spans="1:9">
      <c r="A1837" t="str">
        <f>"0030045 "</f>
        <v xml:space="preserve">0030045 </v>
      </c>
      <c r="B1837" t="s">
        <v>5597</v>
      </c>
      <c r="C1837" t="s">
        <v>6062</v>
      </c>
      <c r="D1837" t="s">
        <v>6063</v>
      </c>
      <c r="E1837">
        <v>1</v>
      </c>
      <c r="F1837" t="s">
        <v>6064</v>
      </c>
      <c r="G1837" t="s">
        <v>5600</v>
      </c>
      <c r="H1837" t="s">
        <v>6065</v>
      </c>
      <c r="I1837" t="s">
        <v>6066</v>
      </c>
    </row>
    <row r="1838" spans="1:9">
      <c r="A1838" t="str">
        <f>"0030046 "</f>
        <v xml:space="preserve">0030046 </v>
      </c>
      <c r="B1838" t="s">
        <v>5597</v>
      </c>
      <c r="C1838" t="s">
        <v>6067</v>
      </c>
      <c r="D1838" t="s">
        <v>6068</v>
      </c>
      <c r="E1838">
        <v>1</v>
      </c>
      <c r="F1838" t="s">
        <v>6010</v>
      </c>
      <c r="G1838" t="s">
        <v>5600</v>
      </c>
      <c r="H1838" t="s">
        <v>6069</v>
      </c>
      <c r="I1838" t="s">
        <v>6070</v>
      </c>
    </row>
    <row r="1839" spans="1:9">
      <c r="A1839" t="str">
        <f>"0030054 "</f>
        <v xml:space="preserve">0030054 </v>
      </c>
      <c r="B1839" t="s">
        <v>5597</v>
      </c>
      <c r="C1839" t="s">
        <v>6071</v>
      </c>
      <c r="D1839" t="s">
        <v>6072</v>
      </c>
      <c r="E1839">
        <v>1</v>
      </c>
      <c r="F1839" t="s">
        <v>6073</v>
      </c>
      <c r="G1839" t="s">
        <v>5600</v>
      </c>
      <c r="H1839" t="s">
        <v>6074</v>
      </c>
      <c r="I1839" t="s">
        <v>3580</v>
      </c>
    </row>
    <row r="1840" spans="1:9">
      <c r="A1840" t="str">
        <f>"0030058 "</f>
        <v xml:space="preserve">0030058 </v>
      </c>
      <c r="B1840" t="s">
        <v>5597</v>
      </c>
      <c r="C1840" t="s">
        <v>6075</v>
      </c>
      <c r="D1840" t="s">
        <v>6076</v>
      </c>
      <c r="E1840">
        <v>1</v>
      </c>
      <c r="F1840" t="s">
        <v>330</v>
      </c>
      <c r="G1840" t="s">
        <v>5600</v>
      </c>
      <c r="H1840" t="s">
        <v>6077</v>
      </c>
      <c r="I1840" t="s">
        <v>6078</v>
      </c>
    </row>
    <row r="1841" spans="1:9">
      <c r="A1841" t="str">
        <f>"0030059 "</f>
        <v xml:space="preserve">0030059 </v>
      </c>
      <c r="B1841" t="s">
        <v>5597</v>
      </c>
      <c r="C1841" t="s">
        <v>6079</v>
      </c>
      <c r="D1841" t="s">
        <v>6080</v>
      </c>
      <c r="E1841">
        <v>1</v>
      </c>
      <c r="F1841" t="s">
        <v>6081</v>
      </c>
      <c r="G1841" t="s">
        <v>5600</v>
      </c>
      <c r="H1841" t="s">
        <v>6082</v>
      </c>
      <c r="I1841" t="s">
        <v>6083</v>
      </c>
    </row>
    <row r="1842" spans="1:9">
      <c r="A1842" t="str">
        <f>"0030065 "</f>
        <v xml:space="preserve">0030065 </v>
      </c>
      <c r="B1842" t="s">
        <v>5597</v>
      </c>
      <c r="C1842" t="s">
        <v>6084</v>
      </c>
      <c r="D1842" t="s">
        <v>6085</v>
      </c>
      <c r="E1842">
        <v>1</v>
      </c>
      <c r="F1842" t="s">
        <v>6086</v>
      </c>
      <c r="G1842" t="s">
        <v>5600</v>
      </c>
      <c r="H1842" t="s">
        <v>6087</v>
      </c>
      <c r="I1842" t="s">
        <v>6088</v>
      </c>
    </row>
    <row r="1843" spans="1:9">
      <c r="A1843" t="str">
        <f>"0030068 "</f>
        <v xml:space="preserve">0030068 </v>
      </c>
      <c r="B1843" t="s">
        <v>5597</v>
      </c>
      <c r="C1843" t="s">
        <v>6089</v>
      </c>
      <c r="D1843" t="s">
        <v>6090</v>
      </c>
      <c r="E1843">
        <v>2</v>
      </c>
      <c r="F1843" t="s">
        <v>6091</v>
      </c>
      <c r="G1843" t="s">
        <v>5600</v>
      </c>
      <c r="H1843" t="s">
        <v>6092</v>
      </c>
      <c r="I1843" t="s">
        <v>6093</v>
      </c>
    </row>
    <row r="1844" spans="1:9">
      <c r="A1844" t="str">
        <f>"0030073 "</f>
        <v xml:space="preserve">0030073 </v>
      </c>
      <c r="B1844" t="s">
        <v>5597</v>
      </c>
      <c r="C1844" t="s">
        <v>6094</v>
      </c>
      <c r="D1844" t="s">
        <v>6095</v>
      </c>
      <c r="E1844">
        <v>2</v>
      </c>
      <c r="F1844" t="s">
        <v>6096</v>
      </c>
      <c r="G1844" t="s">
        <v>5600</v>
      </c>
      <c r="H1844" t="s">
        <v>6097</v>
      </c>
      <c r="I1844" t="s">
        <v>6098</v>
      </c>
    </row>
    <row r="1845" spans="1:9">
      <c r="A1845" t="str">
        <f>"0030077 "</f>
        <v xml:space="preserve">0030077 </v>
      </c>
      <c r="B1845" t="s">
        <v>5597</v>
      </c>
      <c r="C1845" t="s">
        <v>6099</v>
      </c>
      <c r="D1845" t="s">
        <v>6100</v>
      </c>
      <c r="E1845">
        <v>1</v>
      </c>
      <c r="F1845" t="s">
        <v>6101</v>
      </c>
      <c r="G1845" t="s">
        <v>5600</v>
      </c>
      <c r="H1845" t="s">
        <v>6102</v>
      </c>
      <c r="I1845" t="s">
        <v>6103</v>
      </c>
    </row>
    <row r="1846" spans="1:9">
      <c r="A1846" t="str">
        <f>"0030079 "</f>
        <v xml:space="preserve">0030079 </v>
      </c>
      <c r="B1846" t="s">
        <v>5597</v>
      </c>
      <c r="C1846" t="s">
        <v>6104</v>
      </c>
      <c r="D1846" t="s">
        <v>6105</v>
      </c>
      <c r="E1846">
        <v>1</v>
      </c>
      <c r="F1846" t="s">
        <v>6091</v>
      </c>
      <c r="G1846" t="s">
        <v>5600</v>
      </c>
      <c r="H1846" t="s">
        <v>6106</v>
      </c>
      <c r="I1846" t="s">
        <v>6107</v>
      </c>
    </row>
    <row r="1847" spans="1:9">
      <c r="A1847" t="str">
        <f>"0086628 "</f>
        <v xml:space="preserve">0086628 </v>
      </c>
      <c r="B1847" t="s">
        <v>5597</v>
      </c>
      <c r="C1847" t="s">
        <v>6108</v>
      </c>
      <c r="D1847" t="s">
        <v>6109</v>
      </c>
      <c r="E1847">
        <v>1</v>
      </c>
      <c r="F1847" t="s">
        <v>6110</v>
      </c>
      <c r="G1847" t="s">
        <v>5600</v>
      </c>
      <c r="H1847" t="s">
        <v>6111</v>
      </c>
      <c r="I1847" t="s">
        <v>6112</v>
      </c>
    </row>
    <row r="1848" spans="1:9">
      <c r="A1848" t="str">
        <f>"0030084 "</f>
        <v xml:space="preserve">0030084 </v>
      </c>
      <c r="B1848" t="s">
        <v>5597</v>
      </c>
      <c r="C1848" t="s">
        <v>6113</v>
      </c>
      <c r="D1848" t="s">
        <v>6114</v>
      </c>
      <c r="E1848">
        <v>1</v>
      </c>
      <c r="F1848" t="s">
        <v>6115</v>
      </c>
      <c r="G1848" t="s">
        <v>5600</v>
      </c>
      <c r="H1848" t="s">
        <v>6116</v>
      </c>
      <c r="I1848" t="s">
        <v>6117</v>
      </c>
    </row>
    <row r="1849" spans="1:9">
      <c r="A1849" t="str">
        <f>"0030085 "</f>
        <v xml:space="preserve">0030085 </v>
      </c>
      <c r="B1849" t="s">
        <v>5597</v>
      </c>
      <c r="C1849" t="s">
        <v>6118</v>
      </c>
      <c r="D1849" t="s">
        <v>6119</v>
      </c>
      <c r="E1849">
        <v>1</v>
      </c>
      <c r="F1849" t="s">
        <v>5727</v>
      </c>
      <c r="G1849" t="s">
        <v>5600</v>
      </c>
      <c r="H1849" t="s">
        <v>6120</v>
      </c>
      <c r="I1849" t="s">
        <v>6121</v>
      </c>
    </row>
    <row r="1850" spans="1:9">
      <c r="A1850" t="str">
        <f>"0030086 "</f>
        <v xml:space="preserve">0030086 </v>
      </c>
      <c r="B1850" t="s">
        <v>5597</v>
      </c>
      <c r="C1850" t="s">
        <v>6122</v>
      </c>
      <c r="D1850" t="s">
        <v>6123</v>
      </c>
      <c r="E1850">
        <v>2</v>
      </c>
      <c r="F1850" t="s">
        <v>3101</v>
      </c>
      <c r="G1850" t="s">
        <v>5600</v>
      </c>
      <c r="H1850" t="s">
        <v>6124</v>
      </c>
      <c r="I1850" t="s">
        <v>6125</v>
      </c>
    </row>
    <row r="1851" spans="1:9">
      <c r="A1851" t="str">
        <f>"0030087 "</f>
        <v xml:space="preserve">0030087 </v>
      </c>
      <c r="B1851" t="s">
        <v>5597</v>
      </c>
      <c r="C1851" t="s">
        <v>6126</v>
      </c>
      <c r="D1851" t="s">
        <v>6127</v>
      </c>
      <c r="E1851">
        <v>1</v>
      </c>
      <c r="F1851" t="s">
        <v>5798</v>
      </c>
      <c r="G1851" t="s">
        <v>5600</v>
      </c>
      <c r="H1851" t="s">
        <v>6128</v>
      </c>
      <c r="I1851" t="s">
        <v>6129</v>
      </c>
    </row>
    <row r="1852" spans="1:9">
      <c r="A1852" t="str">
        <f>"0030097 "</f>
        <v xml:space="preserve">0030097 </v>
      </c>
      <c r="B1852" t="s">
        <v>5597</v>
      </c>
      <c r="C1852" t="s">
        <v>6130</v>
      </c>
      <c r="D1852" t="s">
        <v>6131</v>
      </c>
      <c r="E1852">
        <v>1</v>
      </c>
      <c r="F1852" t="s">
        <v>6132</v>
      </c>
      <c r="G1852" t="s">
        <v>5600</v>
      </c>
      <c r="H1852" t="s">
        <v>6133</v>
      </c>
      <c r="I1852" t="s">
        <v>6134</v>
      </c>
    </row>
    <row r="1853" spans="1:9">
      <c r="A1853" t="str">
        <f>"0030101 "</f>
        <v xml:space="preserve">0030101 </v>
      </c>
      <c r="B1853" t="s">
        <v>5597</v>
      </c>
      <c r="C1853" t="s">
        <v>6135</v>
      </c>
      <c r="D1853" t="s">
        <v>6136</v>
      </c>
      <c r="E1853">
        <v>1</v>
      </c>
      <c r="F1853" t="s">
        <v>6137</v>
      </c>
      <c r="G1853" t="s">
        <v>5600</v>
      </c>
      <c r="H1853" t="s">
        <v>6138</v>
      </c>
      <c r="I1853" t="s">
        <v>6139</v>
      </c>
    </row>
    <row r="1854" spans="1:9">
      <c r="A1854" t="str">
        <f>"0030103 "</f>
        <v xml:space="preserve">0030103 </v>
      </c>
      <c r="B1854" t="s">
        <v>5597</v>
      </c>
      <c r="C1854" t="s">
        <v>6140</v>
      </c>
      <c r="D1854" t="s">
        <v>6141</v>
      </c>
      <c r="E1854">
        <v>1</v>
      </c>
      <c r="F1854" t="s">
        <v>6010</v>
      </c>
      <c r="G1854" t="s">
        <v>5600</v>
      </c>
      <c r="H1854" t="s">
        <v>6142</v>
      </c>
      <c r="I1854" t="s">
        <v>6143</v>
      </c>
    </row>
    <row r="1855" spans="1:9">
      <c r="A1855" t="str">
        <f>"0030106 "</f>
        <v xml:space="preserve">0030106 </v>
      </c>
      <c r="B1855" t="s">
        <v>5597</v>
      </c>
      <c r="C1855" t="s">
        <v>6144</v>
      </c>
      <c r="D1855" t="s">
        <v>6145</v>
      </c>
      <c r="E1855">
        <v>2</v>
      </c>
      <c r="F1855" t="s">
        <v>6146</v>
      </c>
      <c r="G1855" t="s">
        <v>5600</v>
      </c>
      <c r="H1855" t="s">
        <v>6147</v>
      </c>
      <c r="I1855" t="s">
        <v>6148</v>
      </c>
    </row>
    <row r="1856" spans="1:9">
      <c r="A1856" t="str">
        <f>"0086630 "</f>
        <v xml:space="preserve">0086630 </v>
      </c>
      <c r="B1856" t="s">
        <v>5597</v>
      </c>
      <c r="C1856" t="s">
        <v>6149</v>
      </c>
      <c r="D1856" t="s">
        <v>6150</v>
      </c>
      <c r="E1856">
        <v>2</v>
      </c>
      <c r="F1856" t="s">
        <v>6151</v>
      </c>
      <c r="G1856" t="s">
        <v>5600</v>
      </c>
      <c r="H1856" t="s">
        <v>6152</v>
      </c>
      <c r="I1856" t="s">
        <v>6153</v>
      </c>
    </row>
    <row r="1857" spans="1:9">
      <c r="A1857" t="str">
        <f>"0116678 "</f>
        <v xml:space="preserve">0116678 </v>
      </c>
      <c r="B1857" t="s">
        <v>5597</v>
      </c>
      <c r="C1857" t="s">
        <v>6154</v>
      </c>
      <c r="D1857" t="s">
        <v>6155</v>
      </c>
      <c r="E1857">
        <v>1</v>
      </c>
      <c r="F1857" t="s">
        <v>5802</v>
      </c>
      <c r="G1857" t="s">
        <v>5600</v>
      </c>
      <c r="H1857" t="s">
        <v>6156</v>
      </c>
      <c r="I1857" t="s">
        <v>6157</v>
      </c>
    </row>
    <row r="1858" spans="1:9">
      <c r="A1858" t="str">
        <f>"0086629 "</f>
        <v xml:space="preserve">0086629 </v>
      </c>
      <c r="B1858" t="s">
        <v>5597</v>
      </c>
      <c r="C1858" t="s">
        <v>6158</v>
      </c>
      <c r="D1858" t="s">
        <v>6159</v>
      </c>
      <c r="E1858">
        <v>2</v>
      </c>
      <c r="F1858" t="s">
        <v>6160</v>
      </c>
      <c r="G1858" t="s">
        <v>5600</v>
      </c>
      <c r="H1858" t="s">
        <v>6161</v>
      </c>
      <c r="I1858" t="s">
        <v>6162</v>
      </c>
    </row>
    <row r="1859" spans="1:9">
      <c r="A1859" t="str">
        <f>"0030121 "</f>
        <v xml:space="preserve">0030121 </v>
      </c>
      <c r="B1859" t="s">
        <v>5597</v>
      </c>
      <c r="C1859" t="s">
        <v>6163</v>
      </c>
      <c r="D1859" t="s">
        <v>6164</v>
      </c>
      <c r="E1859" t="s">
        <v>20</v>
      </c>
      <c r="F1859" t="s">
        <v>5784</v>
      </c>
      <c r="G1859" t="s">
        <v>5600</v>
      </c>
      <c r="H1859" t="s">
        <v>6165</v>
      </c>
      <c r="I1859" t="s">
        <v>4538</v>
      </c>
    </row>
    <row r="1860" spans="1:9">
      <c r="A1860" t="str">
        <f>"0030122 "</f>
        <v xml:space="preserve">0030122 </v>
      </c>
      <c r="B1860" t="s">
        <v>5597</v>
      </c>
      <c r="C1860" t="s">
        <v>6166</v>
      </c>
      <c r="D1860" t="s">
        <v>6167</v>
      </c>
      <c r="E1860">
        <v>2</v>
      </c>
      <c r="F1860" t="s">
        <v>6168</v>
      </c>
      <c r="G1860" t="s">
        <v>5600</v>
      </c>
      <c r="H1860" t="s">
        <v>6169</v>
      </c>
      <c r="I1860" t="s">
        <v>6170</v>
      </c>
    </row>
    <row r="1861" spans="1:9">
      <c r="A1861" t="str">
        <f>"0116679 "</f>
        <v xml:space="preserve">0116679 </v>
      </c>
      <c r="B1861" t="s">
        <v>5597</v>
      </c>
      <c r="C1861" t="s">
        <v>6171</v>
      </c>
      <c r="D1861" t="s">
        <v>6172</v>
      </c>
      <c r="E1861">
        <v>1</v>
      </c>
      <c r="F1861" t="s">
        <v>6173</v>
      </c>
      <c r="G1861" t="s">
        <v>5600</v>
      </c>
      <c r="H1861" t="s">
        <v>6174</v>
      </c>
      <c r="I1861" t="s">
        <v>6175</v>
      </c>
    </row>
    <row r="1862" spans="1:9">
      <c r="A1862" t="str">
        <f>"0030125 "</f>
        <v xml:space="preserve">0030125 </v>
      </c>
      <c r="B1862" t="s">
        <v>5597</v>
      </c>
      <c r="C1862" t="s">
        <v>6176</v>
      </c>
      <c r="D1862" t="s">
        <v>6177</v>
      </c>
      <c r="E1862">
        <v>4</v>
      </c>
      <c r="F1862" t="s">
        <v>6178</v>
      </c>
      <c r="G1862" t="s">
        <v>5600</v>
      </c>
      <c r="H1862" t="s">
        <v>6179</v>
      </c>
      <c r="I1862" t="s">
        <v>6180</v>
      </c>
    </row>
    <row r="1863" spans="1:9">
      <c r="A1863" t="str">
        <f>"0030126 "</f>
        <v xml:space="preserve">0030126 </v>
      </c>
      <c r="B1863" t="s">
        <v>5597</v>
      </c>
      <c r="C1863" t="s">
        <v>6181</v>
      </c>
      <c r="D1863" t="s">
        <v>6182</v>
      </c>
      <c r="E1863">
        <v>1</v>
      </c>
      <c r="F1863" t="s">
        <v>5831</v>
      </c>
      <c r="G1863" t="s">
        <v>5600</v>
      </c>
      <c r="H1863" t="s">
        <v>6183</v>
      </c>
      <c r="I1863" t="s">
        <v>6184</v>
      </c>
    </row>
    <row r="1864" spans="1:9">
      <c r="A1864" t="str">
        <f>"0030127 "</f>
        <v xml:space="preserve">0030127 </v>
      </c>
      <c r="B1864" t="s">
        <v>5597</v>
      </c>
      <c r="C1864" t="s">
        <v>6185</v>
      </c>
      <c r="D1864" t="s">
        <v>6186</v>
      </c>
      <c r="E1864">
        <v>2</v>
      </c>
      <c r="F1864" t="s">
        <v>6187</v>
      </c>
      <c r="G1864" t="s">
        <v>5600</v>
      </c>
      <c r="H1864" t="s">
        <v>6188</v>
      </c>
      <c r="I1864" t="s">
        <v>6189</v>
      </c>
    </row>
    <row r="1865" spans="1:9">
      <c r="A1865" t="str">
        <f>"0030129 "</f>
        <v xml:space="preserve">0030129 </v>
      </c>
      <c r="B1865" t="s">
        <v>5597</v>
      </c>
      <c r="C1865" t="s">
        <v>6190</v>
      </c>
      <c r="D1865" t="s">
        <v>6191</v>
      </c>
      <c r="E1865">
        <v>1</v>
      </c>
      <c r="F1865" t="s">
        <v>6192</v>
      </c>
      <c r="G1865" t="s">
        <v>5600</v>
      </c>
      <c r="H1865" t="s">
        <v>6193</v>
      </c>
      <c r="I1865" t="s">
        <v>6194</v>
      </c>
    </row>
    <row r="1866" spans="1:9">
      <c r="A1866" t="str">
        <f>"0086635 "</f>
        <v xml:space="preserve">0086635 </v>
      </c>
      <c r="B1866" t="s">
        <v>5597</v>
      </c>
      <c r="C1866" t="s">
        <v>6195</v>
      </c>
      <c r="D1866" t="s">
        <v>6196</v>
      </c>
      <c r="E1866">
        <v>1</v>
      </c>
      <c r="F1866" t="s">
        <v>6197</v>
      </c>
      <c r="G1866" t="s">
        <v>5600</v>
      </c>
      <c r="H1866" t="s">
        <v>6198</v>
      </c>
      <c r="I1866" t="s">
        <v>6199</v>
      </c>
    </row>
    <row r="1867" spans="1:9">
      <c r="A1867" t="str">
        <f>"0030131 "</f>
        <v xml:space="preserve">0030131 </v>
      </c>
      <c r="B1867" t="s">
        <v>5597</v>
      </c>
      <c r="C1867" t="s">
        <v>6200</v>
      </c>
      <c r="D1867" t="s">
        <v>6201</v>
      </c>
      <c r="E1867">
        <v>3</v>
      </c>
      <c r="F1867" t="s">
        <v>6202</v>
      </c>
      <c r="G1867" t="s">
        <v>5600</v>
      </c>
      <c r="H1867" t="s">
        <v>6203</v>
      </c>
      <c r="I1867" t="s">
        <v>6204</v>
      </c>
    </row>
    <row r="1868" spans="1:9">
      <c r="A1868" t="str">
        <f>"0030135 "</f>
        <v xml:space="preserve">0030135 </v>
      </c>
      <c r="B1868" t="s">
        <v>5597</v>
      </c>
      <c r="C1868" t="s">
        <v>6205</v>
      </c>
      <c r="D1868" t="s">
        <v>6206</v>
      </c>
      <c r="E1868">
        <v>1</v>
      </c>
      <c r="F1868" t="s">
        <v>6207</v>
      </c>
      <c r="G1868" t="s">
        <v>5600</v>
      </c>
      <c r="H1868" t="s">
        <v>6208</v>
      </c>
      <c r="I1868" t="s">
        <v>6209</v>
      </c>
    </row>
    <row r="1869" spans="1:9">
      <c r="A1869" t="str">
        <f>"0030140 "</f>
        <v xml:space="preserve">0030140 </v>
      </c>
      <c r="B1869" t="s">
        <v>5597</v>
      </c>
      <c r="C1869" t="s">
        <v>6210</v>
      </c>
      <c r="D1869" t="s">
        <v>6211</v>
      </c>
      <c r="E1869" t="s">
        <v>20</v>
      </c>
      <c r="F1869" t="s">
        <v>5700</v>
      </c>
      <c r="G1869" t="s">
        <v>5600</v>
      </c>
      <c r="H1869" t="s">
        <v>6212</v>
      </c>
      <c r="I1869" t="s">
        <v>6213</v>
      </c>
    </row>
    <row r="1870" spans="1:9">
      <c r="A1870" t="str">
        <f>"0159225 "</f>
        <v xml:space="preserve">0159225 </v>
      </c>
      <c r="B1870" t="s">
        <v>5597</v>
      </c>
      <c r="C1870" t="s">
        <v>6214</v>
      </c>
      <c r="D1870" t="s">
        <v>6215</v>
      </c>
      <c r="E1870">
        <v>1</v>
      </c>
      <c r="F1870" t="s">
        <v>6216</v>
      </c>
      <c r="G1870" t="s">
        <v>5600</v>
      </c>
      <c r="H1870" t="s">
        <v>6217</v>
      </c>
      <c r="I1870" t="s">
        <v>6218</v>
      </c>
    </row>
    <row r="1871" spans="1:9">
      <c r="A1871" t="str">
        <f>"0030148 "</f>
        <v xml:space="preserve">0030148 </v>
      </c>
      <c r="B1871" t="s">
        <v>5597</v>
      </c>
      <c r="C1871" t="s">
        <v>6219</v>
      </c>
      <c r="D1871" t="s">
        <v>6220</v>
      </c>
      <c r="E1871">
        <v>4</v>
      </c>
      <c r="F1871" t="s">
        <v>6221</v>
      </c>
      <c r="G1871" t="s">
        <v>5600</v>
      </c>
      <c r="H1871" t="s">
        <v>6222</v>
      </c>
      <c r="I1871" t="s">
        <v>6223</v>
      </c>
    </row>
    <row r="1872" spans="1:9">
      <c r="A1872" t="str">
        <f>"0030150 "</f>
        <v xml:space="preserve">0030150 </v>
      </c>
      <c r="B1872" t="s">
        <v>5597</v>
      </c>
      <c r="C1872" t="s">
        <v>6224</v>
      </c>
      <c r="D1872" t="s">
        <v>6225</v>
      </c>
      <c r="E1872">
        <v>2</v>
      </c>
      <c r="F1872" t="s">
        <v>6049</v>
      </c>
      <c r="G1872" t="s">
        <v>5600</v>
      </c>
      <c r="H1872" t="s">
        <v>6226</v>
      </c>
      <c r="I1872" t="s">
        <v>6227</v>
      </c>
    </row>
    <row r="1873" spans="1:9">
      <c r="A1873" t="str">
        <f>"0030151 "</f>
        <v xml:space="preserve">0030151 </v>
      </c>
      <c r="B1873" t="s">
        <v>5597</v>
      </c>
      <c r="C1873" t="s">
        <v>6228</v>
      </c>
      <c r="D1873" t="s">
        <v>6229</v>
      </c>
      <c r="E1873">
        <v>1</v>
      </c>
      <c r="F1873" t="s">
        <v>6230</v>
      </c>
      <c r="G1873" t="s">
        <v>5600</v>
      </c>
      <c r="H1873" t="s">
        <v>6231</v>
      </c>
      <c r="I1873" t="s">
        <v>780</v>
      </c>
    </row>
    <row r="1874" spans="1:9">
      <c r="A1874" t="str">
        <f>"0030159 "</f>
        <v xml:space="preserve">0030159 </v>
      </c>
      <c r="B1874" t="s">
        <v>5597</v>
      </c>
      <c r="C1874" t="s">
        <v>6232</v>
      </c>
      <c r="D1874" t="s">
        <v>6233</v>
      </c>
      <c r="E1874">
        <v>1</v>
      </c>
      <c r="F1874" t="s">
        <v>6234</v>
      </c>
      <c r="G1874" t="s">
        <v>5600</v>
      </c>
      <c r="H1874" t="s">
        <v>6235</v>
      </c>
      <c r="I1874" t="s">
        <v>6236</v>
      </c>
    </row>
    <row r="1875" spans="1:9">
      <c r="A1875" t="str">
        <f>"0030160 "</f>
        <v xml:space="preserve">0030160 </v>
      </c>
      <c r="B1875" t="s">
        <v>5597</v>
      </c>
      <c r="C1875" t="s">
        <v>6237</v>
      </c>
      <c r="D1875" t="s">
        <v>6238</v>
      </c>
      <c r="E1875">
        <v>1</v>
      </c>
      <c r="F1875" t="s">
        <v>6239</v>
      </c>
      <c r="G1875" t="s">
        <v>5600</v>
      </c>
      <c r="H1875" t="s">
        <v>6240</v>
      </c>
      <c r="I1875" t="s">
        <v>6241</v>
      </c>
    </row>
    <row r="1876" spans="1:9">
      <c r="A1876" t="str">
        <f>"0030168 "</f>
        <v xml:space="preserve">0030168 </v>
      </c>
      <c r="B1876" t="s">
        <v>5597</v>
      </c>
      <c r="C1876" t="s">
        <v>6242</v>
      </c>
      <c r="D1876" t="s">
        <v>6243</v>
      </c>
      <c r="E1876">
        <v>1</v>
      </c>
      <c r="F1876" t="s">
        <v>6244</v>
      </c>
      <c r="G1876" t="s">
        <v>5600</v>
      </c>
      <c r="H1876" t="s">
        <v>6245</v>
      </c>
      <c r="I1876" t="s">
        <v>6246</v>
      </c>
    </row>
    <row r="1877" spans="1:9">
      <c r="A1877" t="str">
        <f>"0030172 "</f>
        <v xml:space="preserve">0030172 </v>
      </c>
      <c r="B1877" t="s">
        <v>5597</v>
      </c>
      <c r="C1877" t="s">
        <v>6247</v>
      </c>
      <c r="D1877" t="s">
        <v>6248</v>
      </c>
      <c r="E1877">
        <v>1</v>
      </c>
      <c r="F1877" t="s">
        <v>6249</v>
      </c>
      <c r="G1877" t="s">
        <v>5600</v>
      </c>
      <c r="H1877" t="s">
        <v>6250</v>
      </c>
      <c r="I1877" t="s">
        <v>6251</v>
      </c>
    </row>
    <row r="1878" spans="1:9">
      <c r="A1878" t="str">
        <f>"0030173 "</f>
        <v xml:space="preserve">0030173 </v>
      </c>
      <c r="B1878" t="s">
        <v>5597</v>
      </c>
      <c r="C1878" t="s">
        <v>6252</v>
      </c>
      <c r="D1878" t="s">
        <v>6253</v>
      </c>
      <c r="E1878">
        <v>1</v>
      </c>
      <c r="F1878" t="s">
        <v>6254</v>
      </c>
      <c r="G1878" t="s">
        <v>5600</v>
      </c>
      <c r="H1878" t="s">
        <v>6255</v>
      </c>
      <c r="I1878" t="s">
        <v>6256</v>
      </c>
    </row>
    <row r="1879" spans="1:9">
      <c r="A1879" t="str">
        <f>"0030174 "</f>
        <v xml:space="preserve">0030174 </v>
      </c>
      <c r="B1879" t="s">
        <v>5597</v>
      </c>
      <c r="C1879" t="s">
        <v>6257</v>
      </c>
      <c r="D1879" t="s">
        <v>6258</v>
      </c>
      <c r="E1879" t="s">
        <v>20</v>
      </c>
      <c r="F1879" t="s">
        <v>5997</v>
      </c>
      <c r="G1879" t="s">
        <v>5600</v>
      </c>
      <c r="H1879" t="s">
        <v>6259</v>
      </c>
      <c r="I1879" t="s">
        <v>6260</v>
      </c>
    </row>
    <row r="1880" spans="1:9">
      <c r="A1880" t="str">
        <f>"0030175 "</f>
        <v xml:space="preserve">0030175 </v>
      </c>
      <c r="B1880" t="s">
        <v>5597</v>
      </c>
      <c r="C1880" t="s">
        <v>6261</v>
      </c>
      <c r="D1880" t="s">
        <v>6262</v>
      </c>
      <c r="E1880" t="s">
        <v>20</v>
      </c>
      <c r="F1880" t="s">
        <v>6263</v>
      </c>
      <c r="G1880" t="s">
        <v>5600</v>
      </c>
      <c r="H1880" t="s">
        <v>6264</v>
      </c>
      <c r="I1880" t="s">
        <v>6265</v>
      </c>
    </row>
    <row r="1881" spans="1:9">
      <c r="A1881" t="str">
        <f>"0030177 "</f>
        <v xml:space="preserve">0030177 </v>
      </c>
      <c r="B1881" t="s">
        <v>5597</v>
      </c>
      <c r="C1881" t="s">
        <v>6266</v>
      </c>
      <c r="D1881" t="s">
        <v>6267</v>
      </c>
      <c r="E1881">
        <v>1</v>
      </c>
      <c r="F1881" t="s">
        <v>5810</v>
      </c>
      <c r="G1881" t="s">
        <v>5600</v>
      </c>
      <c r="H1881" t="s">
        <v>6268</v>
      </c>
      <c r="I1881" t="s">
        <v>6269</v>
      </c>
    </row>
    <row r="1882" spans="1:9">
      <c r="A1882" t="str">
        <f>"0030187 "</f>
        <v xml:space="preserve">0030187 </v>
      </c>
      <c r="B1882" t="s">
        <v>5597</v>
      </c>
      <c r="C1882" t="s">
        <v>6270</v>
      </c>
      <c r="D1882" t="s">
        <v>6271</v>
      </c>
      <c r="E1882">
        <v>2</v>
      </c>
      <c r="F1882" t="s">
        <v>6272</v>
      </c>
      <c r="G1882" t="s">
        <v>5600</v>
      </c>
      <c r="H1882" t="s">
        <v>6273</v>
      </c>
      <c r="I1882" t="s">
        <v>6274</v>
      </c>
    </row>
    <row r="1883" spans="1:9">
      <c r="A1883" t="str">
        <f>"0030190 "</f>
        <v xml:space="preserve">0030190 </v>
      </c>
      <c r="B1883" t="s">
        <v>5597</v>
      </c>
      <c r="C1883" t="s">
        <v>6275</v>
      </c>
      <c r="D1883" t="s">
        <v>6276</v>
      </c>
      <c r="E1883" t="s">
        <v>20</v>
      </c>
      <c r="F1883" t="s">
        <v>6277</v>
      </c>
      <c r="G1883" t="s">
        <v>5600</v>
      </c>
      <c r="H1883" t="s">
        <v>6278</v>
      </c>
      <c r="I1883" t="s">
        <v>2714</v>
      </c>
    </row>
    <row r="1884" spans="1:9">
      <c r="A1884" t="str">
        <f>"0030192 "</f>
        <v xml:space="preserve">0030192 </v>
      </c>
      <c r="B1884" t="s">
        <v>5597</v>
      </c>
      <c r="C1884" t="s">
        <v>6279</v>
      </c>
      <c r="D1884" t="s">
        <v>6280</v>
      </c>
      <c r="E1884">
        <v>1</v>
      </c>
      <c r="F1884" t="s">
        <v>6281</v>
      </c>
      <c r="G1884" t="s">
        <v>5600</v>
      </c>
      <c r="H1884" t="s">
        <v>6282</v>
      </c>
      <c r="I1884" t="s">
        <v>6283</v>
      </c>
    </row>
    <row r="1885" spans="1:9">
      <c r="A1885" t="str">
        <f>"0030199 "</f>
        <v xml:space="preserve">0030199 </v>
      </c>
      <c r="B1885" t="s">
        <v>5597</v>
      </c>
      <c r="C1885" t="s">
        <v>6284</v>
      </c>
      <c r="D1885" t="s">
        <v>6285</v>
      </c>
      <c r="E1885">
        <v>1</v>
      </c>
      <c r="F1885" t="s">
        <v>4498</v>
      </c>
      <c r="G1885" t="s">
        <v>5600</v>
      </c>
      <c r="H1885" t="s">
        <v>6286</v>
      </c>
      <c r="I1885" t="s">
        <v>6287</v>
      </c>
    </row>
    <row r="1886" spans="1:9">
      <c r="A1886" t="str">
        <f>"0030204 "</f>
        <v xml:space="preserve">0030204 </v>
      </c>
      <c r="B1886" t="s">
        <v>5597</v>
      </c>
      <c r="C1886" t="s">
        <v>6288</v>
      </c>
      <c r="D1886" t="s">
        <v>6289</v>
      </c>
      <c r="E1886">
        <v>3</v>
      </c>
      <c r="F1886" t="s">
        <v>6290</v>
      </c>
      <c r="G1886" t="s">
        <v>5600</v>
      </c>
      <c r="H1886" t="s">
        <v>6291</v>
      </c>
      <c r="I1886" t="s">
        <v>6292</v>
      </c>
    </row>
    <row r="1887" spans="1:9">
      <c r="A1887" t="str">
        <f>"0030206 "</f>
        <v xml:space="preserve">0030206 </v>
      </c>
      <c r="B1887" t="s">
        <v>5597</v>
      </c>
      <c r="C1887" t="s">
        <v>6293</v>
      </c>
      <c r="D1887" t="s">
        <v>6294</v>
      </c>
      <c r="E1887">
        <v>2</v>
      </c>
      <c r="F1887" t="s">
        <v>5723</v>
      </c>
      <c r="G1887" t="s">
        <v>5600</v>
      </c>
      <c r="H1887" t="s">
        <v>6295</v>
      </c>
      <c r="I1887" t="s">
        <v>6296</v>
      </c>
    </row>
    <row r="1888" spans="1:9">
      <c r="A1888" t="str">
        <f>"0030207 "</f>
        <v xml:space="preserve">0030207 </v>
      </c>
      <c r="B1888" t="s">
        <v>5597</v>
      </c>
      <c r="C1888" t="s">
        <v>6297</v>
      </c>
      <c r="D1888" t="s">
        <v>6298</v>
      </c>
      <c r="E1888">
        <v>1</v>
      </c>
      <c r="F1888" t="s">
        <v>6299</v>
      </c>
      <c r="G1888" t="s">
        <v>5600</v>
      </c>
      <c r="H1888" t="s">
        <v>6300</v>
      </c>
      <c r="I1888" t="s">
        <v>6301</v>
      </c>
    </row>
    <row r="1889" spans="1:9">
      <c r="A1889" t="str">
        <f>"0030212 "</f>
        <v xml:space="preserve">0030212 </v>
      </c>
      <c r="B1889" t="s">
        <v>5597</v>
      </c>
      <c r="C1889" t="s">
        <v>6302</v>
      </c>
      <c r="D1889" t="s">
        <v>6303</v>
      </c>
      <c r="E1889">
        <v>2</v>
      </c>
      <c r="F1889" t="s">
        <v>6304</v>
      </c>
      <c r="G1889" t="s">
        <v>5600</v>
      </c>
      <c r="H1889" t="s">
        <v>6305</v>
      </c>
      <c r="I1889" t="s">
        <v>6306</v>
      </c>
    </row>
    <row r="1890" spans="1:9">
      <c r="A1890" t="str">
        <f>"0030217 "</f>
        <v xml:space="preserve">0030217 </v>
      </c>
      <c r="B1890" t="s">
        <v>5597</v>
      </c>
      <c r="C1890" t="s">
        <v>6307</v>
      </c>
      <c r="D1890" t="s">
        <v>6308</v>
      </c>
      <c r="E1890">
        <v>1</v>
      </c>
      <c r="F1890" t="s">
        <v>6309</v>
      </c>
      <c r="G1890" t="s">
        <v>5600</v>
      </c>
      <c r="H1890" t="s">
        <v>6310</v>
      </c>
      <c r="I1890" t="s">
        <v>6311</v>
      </c>
    </row>
    <row r="1891" spans="1:9">
      <c r="A1891" t="str">
        <f>"0030224 "</f>
        <v xml:space="preserve">0030224 </v>
      </c>
      <c r="B1891" t="s">
        <v>5597</v>
      </c>
      <c r="C1891" t="s">
        <v>6312</v>
      </c>
      <c r="D1891" t="s">
        <v>6313</v>
      </c>
      <c r="E1891">
        <v>1</v>
      </c>
      <c r="F1891" t="s">
        <v>6314</v>
      </c>
      <c r="G1891" t="s">
        <v>5600</v>
      </c>
      <c r="H1891" t="s">
        <v>6315</v>
      </c>
      <c r="I1891" t="s">
        <v>6316</v>
      </c>
    </row>
    <row r="1892" spans="1:9">
      <c r="A1892" t="str">
        <f>"0030230 "</f>
        <v xml:space="preserve">0030230 </v>
      </c>
      <c r="B1892" t="s">
        <v>5597</v>
      </c>
      <c r="C1892" t="s">
        <v>6317</v>
      </c>
      <c r="D1892" t="s">
        <v>6318</v>
      </c>
      <c r="E1892">
        <v>1</v>
      </c>
      <c r="F1892" t="s">
        <v>6319</v>
      </c>
      <c r="G1892" t="s">
        <v>5600</v>
      </c>
      <c r="H1892" t="s">
        <v>6320</v>
      </c>
      <c r="I1892" t="s">
        <v>664</v>
      </c>
    </row>
    <row r="1893" spans="1:9">
      <c r="A1893" t="str">
        <f>"0030233 "</f>
        <v xml:space="preserve">0030233 </v>
      </c>
      <c r="B1893" t="s">
        <v>5597</v>
      </c>
      <c r="C1893" t="s">
        <v>6321</v>
      </c>
      <c r="D1893" t="s">
        <v>6322</v>
      </c>
      <c r="E1893">
        <v>2</v>
      </c>
      <c r="F1893" t="s">
        <v>6323</v>
      </c>
      <c r="G1893" t="s">
        <v>5600</v>
      </c>
      <c r="H1893" t="s">
        <v>6324</v>
      </c>
      <c r="I1893" t="s">
        <v>6325</v>
      </c>
    </row>
    <row r="1894" spans="1:9">
      <c r="A1894" t="str">
        <f>"0030235 "</f>
        <v xml:space="preserve">0030235 </v>
      </c>
      <c r="B1894" t="s">
        <v>5597</v>
      </c>
      <c r="C1894" t="s">
        <v>6326</v>
      </c>
      <c r="D1894" t="s">
        <v>6327</v>
      </c>
      <c r="E1894">
        <v>1</v>
      </c>
      <c r="F1894" t="s">
        <v>6328</v>
      </c>
      <c r="G1894" t="s">
        <v>5600</v>
      </c>
      <c r="H1894" t="s">
        <v>6329</v>
      </c>
      <c r="I1894" t="s">
        <v>6330</v>
      </c>
    </row>
    <row r="1895" spans="1:9">
      <c r="A1895" t="str">
        <f>"0030237 "</f>
        <v xml:space="preserve">0030237 </v>
      </c>
      <c r="B1895" t="s">
        <v>5597</v>
      </c>
      <c r="C1895" t="s">
        <v>6331</v>
      </c>
      <c r="D1895" t="s">
        <v>6332</v>
      </c>
      <c r="E1895">
        <v>1</v>
      </c>
      <c r="F1895" t="s">
        <v>217</v>
      </c>
      <c r="G1895" t="s">
        <v>5600</v>
      </c>
      <c r="H1895" t="s">
        <v>6333</v>
      </c>
      <c r="I1895" t="s">
        <v>6334</v>
      </c>
    </row>
    <row r="1896" spans="1:9">
      <c r="A1896" t="str">
        <f>"0030238 "</f>
        <v xml:space="preserve">0030238 </v>
      </c>
      <c r="B1896" t="s">
        <v>5597</v>
      </c>
      <c r="C1896" t="s">
        <v>6335</v>
      </c>
      <c r="D1896" t="s">
        <v>6336</v>
      </c>
      <c r="E1896">
        <v>1</v>
      </c>
      <c r="F1896" t="s">
        <v>6337</v>
      </c>
      <c r="G1896" t="s">
        <v>5600</v>
      </c>
      <c r="H1896" t="s">
        <v>6338</v>
      </c>
      <c r="I1896" t="s">
        <v>6339</v>
      </c>
    </row>
    <row r="1897" spans="1:9">
      <c r="A1897" t="str">
        <f>"0030240 "</f>
        <v xml:space="preserve">0030240 </v>
      </c>
      <c r="B1897" t="s">
        <v>5597</v>
      </c>
      <c r="C1897" t="s">
        <v>6340</v>
      </c>
      <c r="D1897" t="s">
        <v>6341</v>
      </c>
      <c r="E1897">
        <v>3</v>
      </c>
      <c r="F1897" t="s">
        <v>6342</v>
      </c>
      <c r="G1897" t="s">
        <v>5600</v>
      </c>
      <c r="H1897" t="s">
        <v>6343</v>
      </c>
      <c r="I1897" t="s">
        <v>6344</v>
      </c>
    </row>
    <row r="1898" spans="1:9">
      <c r="A1898" t="str">
        <f>"0030242 "</f>
        <v xml:space="preserve">0030242 </v>
      </c>
      <c r="B1898" t="s">
        <v>5597</v>
      </c>
      <c r="C1898" t="s">
        <v>6345</v>
      </c>
      <c r="D1898" t="s">
        <v>6346</v>
      </c>
      <c r="E1898">
        <v>1</v>
      </c>
      <c r="F1898" t="s">
        <v>6347</v>
      </c>
      <c r="G1898" t="s">
        <v>5600</v>
      </c>
      <c r="H1898" t="s">
        <v>6348</v>
      </c>
      <c r="I1898" t="s">
        <v>6349</v>
      </c>
    </row>
    <row r="1899" spans="1:9">
      <c r="A1899" t="str">
        <f>"0030243 "</f>
        <v xml:space="preserve">0030243 </v>
      </c>
      <c r="B1899" t="s">
        <v>5597</v>
      </c>
      <c r="C1899" t="s">
        <v>6350</v>
      </c>
      <c r="D1899" t="s">
        <v>6351</v>
      </c>
      <c r="E1899">
        <v>1</v>
      </c>
      <c r="F1899" t="s">
        <v>6352</v>
      </c>
      <c r="G1899" t="s">
        <v>5600</v>
      </c>
      <c r="H1899" t="s">
        <v>6353</v>
      </c>
      <c r="I1899" t="s">
        <v>6354</v>
      </c>
    </row>
    <row r="1900" spans="1:9">
      <c r="A1900" t="str">
        <f>"0030244 "</f>
        <v xml:space="preserve">0030244 </v>
      </c>
      <c r="B1900" t="s">
        <v>5597</v>
      </c>
      <c r="C1900" t="s">
        <v>6355</v>
      </c>
      <c r="D1900" t="s">
        <v>6356</v>
      </c>
      <c r="E1900">
        <v>5</v>
      </c>
      <c r="F1900" t="s">
        <v>6357</v>
      </c>
      <c r="G1900" t="s">
        <v>5600</v>
      </c>
      <c r="H1900" t="s">
        <v>6358</v>
      </c>
      <c r="I1900" t="s">
        <v>6359</v>
      </c>
    </row>
    <row r="1901" spans="1:9">
      <c r="A1901" t="str">
        <f>"0030245 "</f>
        <v xml:space="preserve">0030245 </v>
      </c>
      <c r="B1901" t="s">
        <v>5597</v>
      </c>
      <c r="C1901" t="s">
        <v>6360</v>
      </c>
      <c r="D1901" t="s">
        <v>6361</v>
      </c>
      <c r="E1901">
        <v>1</v>
      </c>
      <c r="F1901" t="s">
        <v>6362</v>
      </c>
      <c r="G1901" t="s">
        <v>5600</v>
      </c>
      <c r="H1901" t="s">
        <v>6363</v>
      </c>
      <c r="I1901" t="s">
        <v>6364</v>
      </c>
    </row>
    <row r="1902" spans="1:9">
      <c r="A1902" t="str">
        <f>"0030246 "</f>
        <v xml:space="preserve">0030246 </v>
      </c>
      <c r="B1902" t="s">
        <v>5597</v>
      </c>
      <c r="C1902" t="s">
        <v>6365</v>
      </c>
      <c r="D1902" t="s">
        <v>6366</v>
      </c>
      <c r="E1902">
        <v>1</v>
      </c>
      <c r="F1902" t="s">
        <v>6367</v>
      </c>
      <c r="G1902" t="s">
        <v>5600</v>
      </c>
      <c r="H1902" t="s">
        <v>6368</v>
      </c>
      <c r="I1902" t="s">
        <v>6369</v>
      </c>
    </row>
    <row r="1903" spans="1:9">
      <c r="A1903" t="str">
        <f>"0030254 "</f>
        <v xml:space="preserve">0030254 </v>
      </c>
      <c r="B1903" t="s">
        <v>5597</v>
      </c>
      <c r="C1903" t="s">
        <v>6370</v>
      </c>
      <c r="D1903" t="s">
        <v>6371</v>
      </c>
      <c r="E1903">
        <v>1</v>
      </c>
      <c r="F1903" t="s">
        <v>6372</v>
      </c>
      <c r="G1903" t="s">
        <v>5600</v>
      </c>
      <c r="H1903" t="s">
        <v>6373</v>
      </c>
      <c r="I1903" t="s">
        <v>6374</v>
      </c>
    </row>
    <row r="1904" spans="1:9">
      <c r="A1904" t="str">
        <f>"0030256 "</f>
        <v xml:space="preserve">0030256 </v>
      </c>
      <c r="B1904" t="s">
        <v>5597</v>
      </c>
      <c r="C1904" t="s">
        <v>6375</v>
      </c>
      <c r="D1904" t="s">
        <v>6376</v>
      </c>
      <c r="E1904">
        <v>1</v>
      </c>
      <c r="F1904" t="s">
        <v>5731</v>
      </c>
      <c r="G1904" t="s">
        <v>5600</v>
      </c>
      <c r="H1904" t="s">
        <v>6377</v>
      </c>
      <c r="I1904" t="s">
        <v>6378</v>
      </c>
    </row>
    <row r="1905" spans="1:9">
      <c r="A1905" t="str">
        <f>"0030262 "</f>
        <v xml:space="preserve">0030262 </v>
      </c>
      <c r="B1905" t="s">
        <v>5597</v>
      </c>
      <c r="C1905" t="s">
        <v>6379</v>
      </c>
      <c r="D1905" t="s">
        <v>6380</v>
      </c>
      <c r="E1905">
        <v>1</v>
      </c>
      <c r="F1905" t="s">
        <v>5620</v>
      </c>
      <c r="G1905" t="s">
        <v>5600</v>
      </c>
      <c r="H1905" t="s">
        <v>6381</v>
      </c>
      <c r="I1905" t="s">
        <v>6382</v>
      </c>
    </row>
    <row r="1906" spans="1:9">
      <c r="A1906" t="str">
        <f>"0030277 "</f>
        <v xml:space="preserve">0030277 </v>
      </c>
      <c r="B1906" t="s">
        <v>5597</v>
      </c>
      <c r="C1906" t="s">
        <v>6383</v>
      </c>
      <c r="D1906" t="s">
        <v>6384</v>
      </c>
      <c r="E1906">
        <v>1</v>
      </c>
      <c r="F1906" t="s">
        <v>6385</v>
      </c>
      <c r="G1906" t="s">
        <v>5600</v>
      </c>
      <c r="H1906" t="s">
        <v>6386</v>
      </c>
      <c r="I1906" t="s">
        <v>6387</v>
      </c>
    </row>
    <row r="1907" spans="1:9">
      <c r="A1907" t="str">
        <f>"0030281 "</f>
        <v xml:space="preserve">0030281 </v>
      </c>
      <c r="B1907" t="s">
        <v>5597</v>
      </c>
      <c r="C1907" t="s">
        <v>6388</v>
      </c>
      <c r="D1907" t="s">
        <v>6389</v>
      </c>
      <c r="E1907">
        <v>1</v>
      </c>
      <c r="F1907" t="s">
        <v>6390</v>
      </c>
      <c r="G1907" t="s">
        <v>5600</v>
      </c>
      <c r="H1907" t="s">
        <v>6391</v>
      </c>
      <c r="I1907" t="s">
        <v>277</v>
      </c>
    </row>
    <row r="1908" spans="1:9">
      <c r="A1908" t="str">
        <f>"0030283 "</f>
        <v xml:space="preserve">0030283 </v>
      </c>
      <c r="B1908" t="s">
        <v>5597</v>
      </c>
      <c r="C1908" t="s">
        <v>6392</v>
      </c>
      <c r="D1908" t="s">
        <v>6393</v>
      </c>
      <c r="E1908">
        <v>1</v>
      </c>
      <c r="F1908" t="s">
        <v>5839</v>
      </c>
      <c r="G1908" t="s">
        <v>5600</v>
      </c>
      <c r="H1908" t="s">
        <v>6394</v>
      </c>
      <c r="I1908" t="s">
        <v>386</v>
      </c>
    </row>
    <row r="1909" spans="1:9">
      <c r="A1909" t="str">
        <f>"0030284 "</f>
        <v xml:space="preserve">0030284 </v>
      </c>
      <c r="B1909" t="s">
        <v>5597</v>
      </c>
      <c r="C1909" t="s">
        <v>6395</v>
      </c>
      <c r="D1909" t="s">
        <v>6396</v>
      </c>
      <c r="E1909">
        <v>2</v>
      </c>
      <c r="F1909" t="s">
        <v>6397</v>
      </c>
      <c r="G1909" t="s">
        <v>5600</v>
      </c>
      <c r="H1909" t="s">
        <v>6398</v>
      </c>
      <c r="I1909" t="s">
        <v>6399</v>
      </c>
    </row>
    <row r="1910" spans="1:9">
      <c r="A1910" t="str">
        <f>"0030286 "</f>
        <v xml:space="preserve">0030286 </v>
      </c>
      <c r="B1910" t="s">
        <v>5597</v>
      </c>
      <c r="C1910" t="s">
        <v>6400</v>
      </c>
      <c r="D1910" t="s">
        <v>6401</v>
      </c>
      <c r="E1910">
        <v>2</v>
      </c>
      <c r="F1910" t="s">
        <v>6402</v>
      </c>
      <c r="G1910" t="s">
        <v>5600</v>
      </c>
      <c r="H1910" t="s">
        <v>6403</v>
      </c>
      <c r="I1910" t="s">
        <v>6404</v>
      </c>
    </row>
    <row r="1911" spans="1:9">
      <c r="A1911" t="str">
        <f>"0030287 "</f>
        <v xml:space="preserve">0030287 </v>
      </c>
      <c r="B1911" t="s">
        <v>5597</v>
      </c>
      <c r="C1911" t="s">
        <v>6405</v>
      </c>
      <c r="D1911" t="s">
        <v>6406</v>
      </c>
      <c r="E1911">
        <v>1</v>
      </c>
      <c r="F1911" t="s">
        <v>6407</v>
      </c>
      <c r="G1911" t="s">
        <v>5600</v>
      </c>
      <c r="H1911" t="s">
        <v>6408</v>
      </c>
      <c r="I1911" t="s">
        <v>6409</v>
      </c>
    </row>
    <row r="1912" spans="1:9">
      <c r="A1912" t="str">
        <f>"0030294 "</f>
        <v xml:space="preserve">0030294 </v>
      </c>
      <c r="B1912" t="s">
        <v>5597</v>
      </c>
      <c r="C1912" t="s">
        <v>6410</v>
      </c>
      <c r="D1912" t="s">
        <v>6411</v>
      </c>
      <c r="E1912">
        <v>1</v>
      </c>
      <c r="F1912" t="s">
        <v>6412</v>
      </c>
      <c r="G1912" t="s">
        <v>5600</v>
      </c>
      <c r="H1912" t="s">
        <v>6413</v>
      </c>
      <c r="I1912" t="s">
        <v>6414</v>
      </c>
    </row>
    <row r="1913" spans="1:9">
      <c r="A1913" t="str">
        <f>"0030297 "</f>
        <v xml:space="preserve">0030297 </v>
      </c>
      <c r="B1913" t="s">
        <v>5597</v>
      </c>
      <c r="C1913" t="s">
        <v>6415</v>
      </c>
      <c r="D1913" t="s">
        <v>6416</v>
      </c>
      <c r="E1913">
        <v>2</v>
      </c>
      <c r="F1913" t="s">
        <v>6417</v>
      </c>
      <c r="G1913" t="s">
        <v>5600</v>
      </c>
      <c r="H1913" t="s">
        <v>6418</v>
      </c>
      <c r="I1913" t="s">
        <v>691</v>
      </c>
    </row>
    <row r="1914" spans="1:9">
      <c r="A1914" t="str">
        <f>"0202086 "</f>
        <v xml:space="preserve">0202086 </v>
      </c>
      <c r="B1914" t="s">
        <v>5597</v>
      </c>
      <c r="C1914" t="s">
        <v>6419</v>
      </c>
      <c r="D1914" t="s">
        <v>6420</v>
      </c>
      <c r="E1914">
        <v>1</v>
      </c>
      <c r="F1914" t="s">
        <v>6421</v>
      </c>
      <c r="G1914" t="s">
        <v>5600</v>
      </c>
      <c r="H1914" t="s">
        <v>6422</v>
      </c>
      <c r="I1914" t="s">
        <v>6423</v>
      </c>
    </row>
    <row r="1915" spans="1:9">
      <c r="A1915" t="str">
        <f>"0030298 "</f>
        <v xml:space="preserve">0030298 </v>
      </c>
      <c r="B1915" t="s">
        <v>5597</v>
      </c>
      <c r="C1915" t="s">
        <v>6424</v>
      </c>
      <c r="D1915" t="s">
        <v>6425</v>
      </c>
      <c r="E1915">
        <v>3</v>
      </c>
      <c r="F1915" t="s">
        <v>6426</v>
      </c>
      <c r="G1915" t="s">
        <v>5600</v>
      </c>
      <c r="H1915" t="s">
        <v>6427</v>
      </c>
      <c r="I1915" t="s">
        <v>6428</v>
      </c>
    </row>
    <row r="1916" spans="1:9">
      <c r="A1916" t="str">
        <f>"0030302 "</f>
        <v xml:space="preserve">0030302 </v>
      </c>
      <c r="B1916" t="s">
        <v>5597</v>
      </c>
      <c r="C1916" t="s">
        <v>6429</v>
      </c>
      <c r="D1916" t="s">
        <v>6430</v>
      </c>
      <c r="E1916">
        <v>1</v>
      </c>
      <c r="F1916" t="s">
        <v>5953</v>
      </c>
      <c r="G1916" t="s">
        <v>5600</v>
      </c>
      <c r="H1916" t="s">
        <v>6431</v>
      </c>
      <c r="I1916" t="s">
        <v>6432</v>
      </c>
    </row>
    <row r="1917" spans="1:9">
      <c r="A1917" t="str">
        <f>"0030304 "</f>
        <v xml:space="preserve">0030304 </v>
      </c>
      <c r="B1917" t="s">
        <v>5597</v>
      </c>
      <c r="C1917" t="s">
        <v>6433</v>
      </c>
      <c r="D1917" t="s">
        <v>6434</v>
      </c>
      <c r="E1917">
        <v>2</v>
      </c>
      <c r="F1917" t="s">
        <v>6435</v>
      </c>
      <c r="G1917" t="s">
        <v>5600</v>
      </c>
      <c r="H1917" t="s">
        <v>6436</v>
      </c>
      <c r="I1917" t="s">
        <v>6437</v>
      </c>
    </row>
    <row r="1918" spans="1:9">
      <c r="A1918" t="str">
        <f>"0030305 "</f>
        <v xml:space="preserve">0030305 </v>
      </c>
      <c r="B1918" t="s">
        <v>5597</v>
      </c>
      <c r="C1918" t="s">
        <v>6438</v>
      </c>
      <c r="D1918" t="s">
        <v>6439</v>
      </c>
      <c r="E1918">
        <v>4</v>
      </c>
      <c r="F1918" t="s">
        <v>6440</v>
      </c>
      <c r="G1918" t="s">
        <v>5600</v>
      </c>
      <c r="H1918" t="s">
        <v>6441</v>
      </c>
      <c r="I1918" t="s">
        <v>6442</v>
      </c>
    </row>
    <row r="1919" spans="1:9">
      <c r="A1919" t="str">
        <f>"0030313 "</f>
        <v xml:space="preserve">0030313 </v>
      </c>
      <c r="B1919" t="s">
        <v>5597</v>
      </c>
      <c r="C1919" t="s">
        <v>6443</v>
      </c>
      <c r="D1919" t="s">
        <v>6444</v>
      </c>
      <c r="E1919">
        <v>1</v>
      </c>
      <c r="F1919" t="s">
        <v>6445</v>
      </c>
      <c r="G1919" t="s">
        <v>5600</v>
      </c>
      <c r="H1919" t="s">
        <v>6446</v>
      </c>
      <c r="I1919" t="s">
        <v>6447</v>
      </c>
    </row>
    <row r="1920" spans="1:9">
      <c r="A1920" t="str">
        <f>"0086639 "</f>
        <v xml:space="preserve">0086639 </v>
      </c>
      <c r="B1920" t="s">
        <v>5597</v>
      </c>
      <c r="C1920" t="s">
        <v>6448</v>
      </c>
      <c r="D1920" t="s">
        <v>6449</v>
      </c>
      <c r="E1920">
        <v>1</v>
      </c>
      <c r="F1920" t="s">
        <v>6450</v>
      </c>
      <c r="G1920" t="s">
        <v>5600</v>
      </c>
      <c r="H1920" t="s">
        <v>6451</v>
      </c>
      <c r="I1920" t="s">
        <v>6452</v>
      </c>
    </row>
    <row r="1921" spans="1:9">
      <c r="A1921" t="str">
        <f>"0030318 "</f>
        <v xml:space="preserve">0030318 </v>
      </c>
      <c r="B1921" t="s">
        <v>5597</v>
      </c>
      <c r="C1921" t="s">
        <v>6453</v>
      </c>
      <c r="D1921" t="s">
        <v>6454</v>
      </c>
      <c r="E1921">
        <v>4</v>
      </c>
      <c r="F1921" t="s">
        <v>6455</v>
      </c>
      <c r="G1921" t="s">
        <v>5600</v>
      </c>
      <c r="H1921" t="s">
        <v>6456</v>
      </c>
      <c r="I1921" t="s">
        <v>6457</v>
      </c>
    </row>
    <row r="1922" spans="1:9">
      <c r="A1922" t="str">
        <f>"0030319 "</f>
        <v xml:space="preserve">0030319 </v>
      </c>
      <c r="B1922" t="s">
        <v>5597</v>
      </c>
      <c r="C1922" t="s">
        <v>6458</v>
      </c>
      <c r="D1922" t="s">
        <v>6459</v>
      </c>
      <c r="E1922">
        <v>2</v>
      </c>
      <c r="F1922" t="s">
        <v>6460</v>
      </c>
      <c r="G1922" t="s">
        <v>5600</v>
      </c>
      <c r="H1922" t="s">
        <v>6461</v>
      </c>
      <c r="I1922" t="s">
        <v>6462</v>
      </c>
    </row>
    <row r="1923" spans="1:9">
      <c r="A1923" t="str">
        <f>"0030323 "</f>
        <v xml:space="preserve">0030323 </v>
      </c>
      <c r="B1923" t="s">
        <v>5597</v>
      </c>
      <c r="C1923" t="s">
        <v>6463</v>
      </c>
      <c r="D1923" t="s">
        <v>6464</v>
      </c>
      <c r="E1923">
        <v>2</v>
      </c>
      <c r="F1923" t="s">
        <v>6450</v>
      </c>
      <c r="G1923" t="s">
        <v>5600</v>
      </c>
      <c r="H1923" t="s">
        <v>6465</v>
      </c>
      <c r="I1923" t="s">
        <v>6466</v>
      </c>
    </row>
    <row r="1924" spans="1:9">
      <c r="A1924" t="str">
        <f>"0030324 "</f>
        <v xml:space="preserve">0030324 </v>
      </c>
      <c r="B1924" t="s">
        <v>5597</v>
      </c>
      <c r="C1924" t="s">
        <v>6467</v>
      </c>
      <c r="D1924" t="s">
        <v>6468</v>
      </c>
      <c r="E1924">
        <v>1</v>
      </c>
      <c r="F1924" t="s">
        <v>6469</v>
      </c>
      <c r="G1924" t="s">
        <v>5600</v>
      </c>
      <c r="H1924" t="s">
        <v>6470</v>
      </c>
      <c r="I1924" t="s">
        <v>6471</v>
      </c>
    </row>
    <row r="1925" spans="1:9">
      <c r="A1925" t="str">
        <f>"0030326 "</f>
        <v xml:space="preserve">0030326 </v>
      </c>
      <c r="B1925" t="s">
        <v>5597</v>
      </c>
      <c r="C1925" t="s">
        <v>6472</v>
      </c>
      <c r="D1925" t="s">
        <v>6473</v>
      </c>
      <c r="E1925">
        <v>1</v>
      </c>
      <c r="F1925" t="s">
        <v>6474</v>
      </c>
      <c r="G1925" t="s">
        <v>5600</v>
      </c>
      <c r="H1925" t="s">
        <v>6475</v>
      </c>
      <c r="I1925" t="s">
        <v>697</v>
      </c>
    </row>
    <row r="1926" spans="1:9">
      <c r="A1926" t="str">
        <f>"0086640 "</f>
        <v xml:space="preserve">0086640 </v>
      </c>
      <c r="B1926" t="s">
        <v>5597</v>
      </c>
      <c r="C1926" t="s">
        <v>6476</v>
      </c>
      <c r="D1926" t="s">
        <v>6477</v>
      </c>
      <c r="E1926">
        <v>1</v>
      </c>
      <c r="F1926" t="s">
        <v>6478</v>
      </c>
      <c r="G1926" t="s">
        <v>5600</v>
      </c>
      <c r="H1926" t="s">
        <v>6479</v>
      </c>
      <c r="I1926" t="s">
        <v>6480</v>
      </c>
    </row>
    <row r="1927" spans="1:9">
      <c r="A1927" t="str">
        <f>"0116686 "</f>
        <v xml:space="preserve">0116686 </v>
      </c>
      <c r="B1927" t="s">
        <v>5597</v>
      </c>
      <c r="C1927" t="s">
        <v>6481</v>
      </c>
      <c r="D1927" t="s">
        <v>6482</v>
      </c>
      <c r="E1927">
        <v>1</v>
      </c>
      <c r="F1927" t="s">
        <v>6483</v>
      </c>
      <c r="G1927" t="s">
        <v>5600</v>
      </c>
      <c r="H1927" t="s">
        <v>6484</v>
      </c>
      <c r="I1927" t="s">
        <v>6485</v>
      </c>
    </row>
    <row r="1928" spans="1:9">
      <c r="A1928" t="str">
        <f>"0202105 "</f>
        <v xml:space="preserve">0202105 </v>
      </c>
      <c r="B1928" t="s">
        <v>5597</v>
      </c>
      <c r="C1928" t="s">
        <v>6486</v>
      </c>
      <c r="D1928" t="s">
        <v>6487</v>
      </c>
      <c r="E1928">
        <v>2</v>
      </c>
      <c r="F1928" t="s">
        <v>6488</v>
      </c>
      <c r="G1928" t="s">
        <v>5600</v>
      </c>
      <c r="H1928" t="s">
        <v>6489</v>
      </c>
      <c r="I1928" t="s">
        <v>6490</v>
      </c>
    </row>
    <row r="1929" spans="1:9">
      <c r="A1929" t="str">
        <f>"0188083 "</f>
        <v xml:space="preserve">0188083 </v>
      </c>
      <c r="B1929" t="s">
        <v>5597</v>
      </c>
      <c r="C1929" t="s">
        <v>6491</v>
      </c>
      <c r="D1929" t="s">
        <v>6492</v>
      </c>
      <c r="E1929">
        <v>2</v>
      </c>
      <c r="F1929" t="s">
        <v>6493</v>
      </c>
      <c r="G1929" t="s">
        <v>5600</v>
      </c>
      <c r="H1929" t="s">
        <v>6494</v>
      </c>
      <c r="I1929" t="s">
        <v>6495</v>
      </c>
    </row>
    <row r="1930" spans="1:9">
      <c r="A1930" t="str">
        <f>"0030330 "</f>
        <v xml:space="preserve">0030330 </v>
      </c>
      <c r="B1930" t="s">
        <v>5597</v>
      </c>
      <c r="C1930" t="s">
        <v>6496</v>
      </c>
      <c r="D1930" t="s">
        <v>6497</v>
      </c>
      <c r="E1930">
        <v>1</v>
      </c>
      <c r="F1930" t="s">
        <v>6498</v>
      </c>
      <c r="G1930" t="s">
        <v>5600</v>
      </c>
      <c r="H1930" t="s">
        <v>6499</v>
      </c>
      <c r="I1930" t="s">
        <v>6500</v>
      </c>
    </row>
    <row r="1931" spans="1:9">
      <c r="A1931" t="str">
        <f>"0030331 "</f>
        <v xml:space="preserve">0030331 </v>
      </c>
      <c r="B1931" t="s">
        <v>5597</v>
      </c>
      <c r="C1931" t="s">
        <v>6501</v>
      </c>
      <c r="D1931" t="s">
        <v>6502</v>
      </c>
      <c r="E1931">
        <v>1</v>
      </c>
      <c r="F1931" t="s">
        <v>6503</v>
      </c>
      <c r="G1931" t="s">
        <v>5600</v>
      </c>
      <c r="H1931" t="s">
        <v>6504</v>
      </c>
      <c r="I1931" t="s">
        <v>6500</v>
      </c>
    </row>
    <row r="1932" spans="1:9">
      <c r="A1932" t="str">
        <f>"0038235 "</f>
        <v xml:space="preserve">0038235 </v>
      </c>
      <c r="B1932" t="s">
        <v>5597</v>
      </c>
      <c r="C1932" t="s">
        <v>6505</v>
      </c>
      <c r="D1932" t="s">
        <v>6506</v>
      </c>
      <c r="E1932">
        <v>2</v>
      </c>
      <c r="F1932" t="s">
        <v>6101</v>
      </c>
      <c r="G1932" t="s">
        <v>5600</v>
      </c>
      <c r="H1932" t="s">
        <v>6507</v>
      </c>
      <c r="I1932" t="s">
        <v>6508</v>
      </c>
    </row>
    <row r="1933" spans="1:9">
      <c r="A1933" t="str">
        <f>"0030332 "</f>
        <v xml:space="preserve">0030332 </v>
      </c>
      <c r="B1933" t="s">
        <v>5597</v>
      </c>
      <c r="C1933" t="s">
        <v>6509</v>
      </c>
      <c r="D1933" t="s">
        <v>6510</v>
      </c>
      <c r="E1933">
        <v>1</v>
      </c>
      <c r="F1933" t="s">
        <v>6511</v>
      </c>
      <c r="G1933" t="s">
        <v>5600</v>
      </c>
      <c r="H1933" t="s">
        <v>6512</v>
      </c>
      <c r="I1933" t="s">
        <v>6513</v>
      </c>
    </row>
    <row r="1934" spans="1:9">
      <c r="A1934" t="str">
        <f>"0038237 "</f>
        <v xml:space="preserve">0038237 </v>
      </c>
      <c r="B1934" t="s">
        <v>5597</v>
      </c>
      <c r="C1934" t="s">
        <v>6514</v>
      </c>
      <c r="D1934" t="s">
        <v>6515</v>
      </c>
      <c r="E1934">
        <v>1</v>
      </c>
      <c r="F1934" t="s">
        <v>6516</v>
      </c>
      <c r="G1934" t="s">
        <v>5600</v>
      </c>
      <c r="H1934" t="s">
        <v>6517</v>
      </c>
      <c r="I1934" t="s">
        <v>6518</v>
      </c>
    </row>
    <row r="1935" spans="1:9">
      <c r="A1935" t="str">
        <f>"0030336 "</f>
        <v xml:space="preserve">0030336 </v>
      </c>
      <c r="B1935" t="s">
        <v>5597</v>
      </c>
      <c r="C1935" t="s">
        <v>6519</v>
      </c>
      <c r="D1935" t="s">
        <v>6520</v>
      </c>
      <c r="E1935">
        <v>2</v>
      </c>
      <c r="F1935" t="s">
        <v>6521</v>
      </c>
      <c r="G1935" t="s">
        <v>5600</v>
      </c>
      <c r="H1935" t="s">
        <v>6522</v>
      </c>
      <c r="I1935" t="s">
        <v>6523</v>
      </c>
    </row>
    <row r="1936" spans="1:9">
      <c r="A1936" t="str">
        <f>"0030337 "</f>
        <v xml:space="preserve">0030337 </v>
      </c>
      <c r="B1936" t="s">
        <v>5597</v>
      </c>
      <c r="C1936" t="s">
        <v>6524</v>
      </c>
      <c r="D1936" t="s">
        <v>6525</v>
      </c>
      <c r="E1936">
        <v>1</v>
      </c>
      <c r="F1936" t="s">
        <v>6526</v>
      </c>
      <c r="G1936" t="s">
        <v>5600</v>
      </c>
      <c r="H1936" t="s">
        <v>6527</v>
      </c>
      <c r="I1936" t="s">
        <v>6528</v>
      </c>
    </row>
    <row r="1937" spans="1:9">
      <c r="A1937" t="str">
        <f>"0038240 "</f>
        <v xml:space="preserve">0038240 </v>
      </c>
      <c r="B1937" t="s">
        <v>5597</v>
      </c>
      <c r="C1937" t="s">
        <v>6529</v>
      </c>
      <c r="D1937" t="s">
        <v>6530</v>
      </c>
      <c r="E1937">
        <v>1</v>
      </c>
      <c r="F1937" t="s">
        <v>6531</v>
      </c>
      <c r="G1937" t="s">
        <v>5600</v>
      </c>
      <c r="H1937" t="s">
        <v>6532</v>
      </c>
      <c r="I1937" t="s">
        <v>6533</v>
      </c>
    </row>
    <row r="1938" spans="1:9">
      <c r="A1938" t="str">
        <f>"0038241 "</f>
        <v xml:space="preserve">0038241 </v>
      </c>
      <c r="B1938" t="s">
        <v>5597</v>
      </c>
      <c r="C1938" t="s">
        <v>6534</v>
      </c>
      <c r="D1938" t="s">
        <v>6535</v>
      </c>
      <c r="E1938">
        <v>1</v>
      </c>
      <c r="F1938" t="s">
        <v>6536</v>
      </c>
      <c r="G1938" t="s">
        <v>5600</v>
      </c>
      <c r="H1938" t="s">
        <v>6537</v>
      </c>
      <c r="I1938" t="s">
        <v>6538</v>
      </c>
    </row>
    <row r="1939" spans="1:9">
      <c r="A1939" t="str">
        <f>"0030341 "</f>
        <v xml:space="preserve">0030341 </v>
      </c>
      <c r="B1939" t="s">
        <v>5597</v>
      </c>
      <c r="C1939" t="s">
        <v>6539</v>
      </c>
      <c r="D1939" t="s">
        <v>6540</v>
      </c>
      <c r="E1939">
        <v>1</v>
      </c>
      <c r="F1939" t="s">
        <v>6541</v>
      </c>
      <c r="G1939" t="s">
        <v>5600</v>
      </c>
      <c r="H1939" t="s">
        <v>6542</v>
      </c>
      <c r="I1939" t="s">
        <v>6543</v>
      </c>
    </row>
    <row r="1940" spans="1:9">
      <c r="A1940" t="str">
        <f>"0038242 "</f>
        <v xml:space="preserve">0038242 </v>
      </c>
      <c r="B1940" t="s">
        <v>5597</v>
      </c>
      <c r="C1940" t="s">
        <v>6544</v>
      </c>
      <c r="D1940" t="s">
        <v>6545</v>
      </c>
      <c r="E1940">
        <v>1</v>
      </c>
      <c r="F1940" t="s">
        <v>6546</v>
      </c>
      <c r="G1940" t="s">
        <v>5600</v>
      </c>
      <c r="H1940" t="s">
        <v>6547</v>
      </c>
      <c r="I1940" t="s">
        <v>6548</v>
      </c>
    </row>
    <row r="1941" spans="1:9">
      <c r="A1941" t="str">
        <f>"0030342 "</f>
        <v xml:space="preserve">0030342 </v>
      </c>
      <c r="B1941" t="s">
        <v>5597</v>
      </c>
      <c r="C1941" t="s">
        <v>6549</v>
      </c>
      <c r="D1941" t="s">
        <v>6550</v>
      </c>
      <c r="E1941">
        <v>1</v>
      </c>
      <c r="F1941" t="s">
        <v>6551</v>
      </c>
      <c r="G1941" t="s">
        <v>5600</v>
      </c>
      <c r="H1941" t="s">
        <v>6552</v>
      </c>
      <c r="I1941" t="s">
        <v>6553</v>
      </c>
    </row>
    <row r="1942" spans="1:9">
      <c r="A1942" t="str">
        <f>"0030344 "</f>
        <v xml:space="preserve">0030344 </v>
      </c>
      <c r="B1942" t="s">
        <v>5597</v>
      </c>
      <c r="C1942" t="s">
        <v>6554</v>
      </c>
      <c r="D1942" t="s">
        <v>6555</v>
      </c>
      <c r="E1942">
        <v>2</v>
      </c>
      <c r="F1942" t="s">
        <v>6556</v>
      </c>
      <c r="G1942" t="s">
        <v>5600</v>
      </c>
      <c r="H1942" t="s">
        <v>6557</v>
      </c>
      <c r="I1942" t="s">
        <v>6558</v>
      </c>
    </row>
    <row r="1943" spans="1:9">
      <c r="A1943" t="str">
        <f>"0030345 "</f>
        <v xml:space="preserve">0030345 </v>
      </c>
      <c r="B1943" t="s">
        <v>5597</v>
      </c>
      <c r="C1943" t="s">
        <v>6559</v>
      </c>
      <c r="D1943" t="s">
        <v>6560</v>
      </c>
      <c r="E1943">
        <v>2</v>
      </c>
      <c r="F1943" t="s">
        <v>6561</v>
      </c>
      <c r="G1943" t="s">
        <v>5600</v>
      </c>
      <c r="H1943" t="s">
        <v>6562</v>
      </c>
      <c r="I1943" t="s">
        <v>6563</v>
      </c>
    </row>
    <row r="1944" spans="1:9">
      <c r="A1944" t="str">
        <f>"0030346 "</f>
        <v xml:space="preserve">0030346 </v>
      </c>
      <c r="B1944" t="s">
        <v>5597</v>
      </c>
      <c r="C1944" t="s">
        <v>6564</v>
      </c>
      <c r="D1944" t="s">
        <v>6565</v>
      </c>
      <c r="E1944">
        <v>2</v>
      </c>
      <c r="F1944" t="s">
        <v>6566</v>
      </c>
      <c r="G1944" t="s">
        <v>5600</v>
      </c>
      <c r="H1944" t="s">
        <v>6567</v>
      </c>
      <c r="I1944" t="s">
        <v>6568</v>
      </c>
    </row>
    <row r="1945" spans="1:9">
      <c r="A1945" t="str">
        <f>"0030347 "</f>
        <v xml:space="preserve">0030347 </v>
      </c>
      <c r="B1945" t="s">
        <v>5597</v>
      </c>
      <c r="C1945" t="s">
        <v>6569</v>
      </c>
      <c r="D1945" t="s">
        <v>6570</v>
      </c>
      <c r="E1945">
        <v>1</v>
      </c>
      <c r="F1945" t="s">
        <v>6571</v>
      </c>
      <c r="G1945" t="s">
        <v>5600</v>
      </c>
      <c r="H1945" t="s">
        <v>6572</v>
      </c>
      <c r="I1945" t="s">
        <v>6573</v>
      </c>
    </row>
    <row r="1946" spans="1:9">
      <c r="A1946" t="str">
        <f>"0030351 "</f>
        <v xml:space="preserve">0030351 </v>
      </c>
      <c r="B1946" t="s">
        <v>5597</v>
      </c>
      <c r="C1946" t="s">
        <v>6574</v>
      </c>
      <c r="D1946" t="s">
        <v>6575</v>
      </c>
      <c r="E1946">
        <v>1</v>
      </c>
      <c r="F1946" t="s">
        <v>6576</v>
      </c>
      <c r="G1946" t="s">
        <v>5600</v>
      </c>
      <c r="H1946" t="s">
        <v>6577</v>
      </c>
      <c r="I1946" t="s">
        <v>6578</v>
      </c>
    </row>
    <row r="1947" spans="1:9">
      <c r="A1947" t="str">
        <f>"0030354 "</f>
        <v xml:space="preserve">0030354 </v>
      </c>
      <c r="B1947" t="s">
        <v>5597</v>
      </c>
      <c r="C1947" t="s">
        <v>6579</v>
      </c>
      <c r="D1947" t="s">
        <v>6580</v>
      </c>
      <c r="E1947">
        <v>4</v>
      </c>
      <c r="F1947" t="s">
        <v>6581</v>
      </c>
      <c r="G1947" t="s">
        <v>5600</v>
      </c>
      <c r="H1947" t="s">
        <v>6582</v>
      </c>
      <c r="I1947" t="s">
        <v>6583</v>
      </c>
    </row>
    <row r="1948" spans="1:9">
      <c r="A1948" t="str">
        <f>"0030356 "</f>
        <v xml:space="preserve">0030356 </v>
      </c>
      <c r="B1948" t="s">
        <v>5597</v>
      </c>
      <c r="C1948" t="s">
        <v>6584</v>
      </c>
      <c r="D1948" t="s">
        <v>6585</v>
      </c>
      <c r="E1948">
        <v>3</v>
      </c>
      <c r="F1948" t="s">
        <v>6020</v>
      </c>
      <c r="G1948" t="s">
        <v>5600</v>
      </c>
      <c r="H1948" t="s">
        <v>6586</v>
      </c>
      <c r="I1948" t="s">
        <v>6587</v>
      </c>
    </row>
    <row r="1949" spans="1:9">
      <c r="A1949" t="str">
        <f>"0030357 "</f>
        <v xml:space="preserve">0030357 </v>
      </c>
      <c r="B1949" t="s">
        <v>5597</v>
      </c>
      <c r="C1949" t="s">
        <v>6588</v>
      </c>
      <c r="D1949" t="s">
        <v>6589</v>
      </c>
      <c r="E1949">
        <v>1</v>
      </c>
      <c r="F1949" t="s">
        <v>6590</v>
      </c>
      <c r="G1949" t="s">
        <v>5600</v>
      </c>
      <c r="H1949" t="s">
        <v>6591</v>
      </c>
      <c r="I1949" t="s">
        <v>6592</v>
      </c>
    </row>
    <row r="1950" spans="1:9">
      <c r="A1950" t="str">
        <f>"0030359 "</f>
        <v xml:space="preserve">0030359 </v>
      </c>
      <c r="B1950" t="s">
        <v>5597</v>
      </c>
      <c r="C1950" t="s">
        <v>6593</v>
      </c>
      <c r="D1950" t="s">
        <v>6594</v>
      </c>
      <c r="E1950">
        <v>1</v>
      </c>
      <c r="F1950" t="s">
        <v>6595</v>
      </c>
      <c r="G1950" t="s">
        <v>5600</v>
      </c>
      <c r="H1950" t="s">
        <v>6596</v>
      </c>
      <c r="I1950" t="s">
        <v>6597</v>
      </c>
    </row>
    <row r="1951" spans="1:9">
      <c r="A1951" t="str">
        <f>"0116705 "</f>
        <v xml:space="preserve">0116705 </v>
      </c>
      <c r="B1951" t="s">
        <v>5597</v>
      </c>
      <c r="C1951" t="s">
        <v>6598</v>
      </c>
      <c r="D1951" t="s">
        <v>6599</v>
      </c>
      <c r="E1951">
        <v>1</v>
      </c>
      <c r="F1951" t="s">
        <v>6600</v>
      </c>
      <c r="G1951" t="s">
        <v>5600</v>
      </c>
      <c r="H1951" t="s">
        <v>6601</v>
      </c>
      <c r="I1951" t="s">
        <v>6602</v>
      </c>
    </row>
    <row r="1952" spans="1:9">
      <c r="A1952" t="str">
        <f>"0030363 "</f>
        <v xml:space="preserve">0030363 </v>
      </c>
      <c r="B1952" t="s">
        <v>5597</v>
      </c>
      <c r="C1952" t="s">
        <v>6603</v>
      </c>
      <c r="D1952" t="s">
        <v>6604</v>
      </c>
      <c r="E1952">
        <v>1</v>
      </c>
      <c r="F1952" t="s">
        <v>6605</v>
      </c>
      <c r="G1952" t="s">
        <v>5600</v>
      </c>
      <c r="H1952" t="s">
        <v>6606</v>
      </c>
      <c r="I1952" t="s">
        <v>6607</v>
      </c>
    </row>
    <row r="1953" spans="1:9">
      <c r="A1953" t="str">
        <f>"0030364 "</f>
        <v xml:space="preserve">0030364 </v>
      </c>
      <c r="B1953" t="s">
        <v>5597</v>
      </c>
      <c r="C1953" t="s">
        <v>6608</v>
      </c>
      <c r="D1953" t="s">
        <v>6609</v>
      </c>
      <c r="E1953">
        <v>1</v>
      </c>
      <c r="F1953" t="s">
        <v>6029</v>
      </c>
      <c r="G1953" t="s">
        <v>5600</v>
      </c>
      <c r="H1953" t="s">
        <v>6610</v>
      </c>
      <c r="I1953" t="s">
        <v>6611</v>
      </c>
    </row>
    <row r="1954" spans="1:9">
      <c r="A1954" t="str">
        <f>"0030366 "</f>
        <v xml:space="preserve">0030366 </v>
      </c>
      <c r="B1954" t="s">
        <v>5597</v>
      </c>
      <c r="C1954" t="s">
        <v>6612</v>
      </c>
      <c r="D1954" t="s">
        <v>6613</v>
      </c>
      <c r="E1954">
        <v>1</v>
      </c>
      <c r="F1954" t="s">
        <v>6614</v>
      </c>
      <c r="G1954" t="s">
        <v>5600</v>
      </c>
      <c r="H1954" t="s">
        <v>6615</v>
      </c>
      <c r="I1954" t="s">
        <v>6616</v>
      </c>
    </row>
    <row r="1955" spans="1:9">
      <c r="A1955" t="str">
        <f>"0086624 "</f>
        <v xml:space="preserve">0086624 </v>
      </c>
      <c r="B1955" t="s">
        <v>5597</v>
      </c>
      <c r="C1955" t="s">
        <v>6617</v>
      </c>
      <c r="D1955" t="s">
        <v>6618</v>
      </c>
      <c r="E1955">
        <v>1</v>
      </c>
      <c r="F1955" t="s">
        <v>6619</v>
      </c>
      <c r="G1955" t="s">
        <v>5600</v>
      </c>
      <c r="H1955" t="s">
        <v>6620</v>
      </c>
      <c r="I1955" t="s">
        <v>6621</v>
      </c>
    </row>
    <row r="1956" spans="1:9">
      <c r="A1956" t="str">
        <f>"0030369 "</f>
        <v xml:space="preserve">0030369 </v>
      </c>
      <c r="B1956" t="s">
        <v>5597</v>
      </c>
      <c r="C1956" t="s">
        <v>6622</v>
      </c>
      <c r="D1956" t="s">
        <v>6623</v>
      </c>
      <c r="E1956">
        <v>1</v>
      </c>
      <c r="F1956" t="s">
        <v>6624</v>
      </c>
      <c r="G1956" t="s">
        <v>5600</v>
      </c>
      <c r="H1956" t="s">
        <v>6625</v>
      </c>
      <c r="I1956" t="s">
        <v>6626</v>
      </c>
    </row>
    <row r="1957" spans="1:9">
      <c r="A1957" t="str">
        <f>"0030370 "</f>
        <v xml:space="preserve">0030370 </v>
      </c>
      <c r="B1957" t="s">
        <v>5597</v>
      </c>
      <c r="C1957" t="s">
        <v>6627</v>
      </c>
      <c r="D1957" t="s">
        <v>6628</v>
      </c>
      <c r="E1957">
        <v>1</v>
      </c>
      <c r="F1957" t="s">
        <v>6629</v>
      </c>
      <c r="G1957" t="s">
        <v>5600</v>
      </c>
      <c r="H1957" t="s">
        <v>6630</v>
      </c>
      <c r="I1957" t="s">
        <v>740</v>
      </c>
    </row>
    <row r="1958" spans="1:9">
      <c r="A1958" t="str">
        <f>"0038251 "</f>
        <v xml:space="preserve">0038251 </v>
      </c>
      <c r="B1958" t="s">
        <v>5597</v>
      </c>
      <c r="C1958" t="s">
        <v>6631</v>
      </c>
      <c r="D1958" t="s">
        <v>6632</v>
      </c>
      <c r="E1958">
        <v>1</v>
      </c>
      <c r="F1958" t="s">
        <v>6633</v>
      </c>
      <c r="G1958" t="s">
        <v>5600</v>
      </c>
      <c r="H1958" t="s">
        <v>6634</v>
      </c>
      <c r="I1958" t="s">
        <v>6635</v>
      </c>
    </row>
    <row r="1959" spans="1:9">
      <c r="A1959" t="str">
        <f>"0030374 "</f>
        <v xml:space="preserve">0030374 </v>
      </c>
      <c r="B1959" t="s">
        <v>5597</v>
      </c>
      <c r="C1959" t="s">
        <v>6636</v>
      </c>
      <c r="D1959" t="s">
        <v>6637</v>
      </c>
      <c r="E1959">
        <v>1</v>
      </c>
      <c r="F1959" t="s">
        <v>6005</v>
      </c>
      <c r="G1959" t="s">
        <v>5600</v>
      </c>
      <c r="H1959" t="s">
        <v>6638</v>
      </c>
      <c r="I1959" t="s">
        <v>6639</v>
      </c>
    </row>
    <row r="1960" spans="1:9">
      <c r="A1960" t="str">
        <f>"0038254 "</f>
        <v xml:space="preserve">0038254 </v>
      </c>
      <c r="B1960" t="s">
        <v>5597</v>
      </c>
      <c r="C1960" t="s">
        <v>6640</v>
      </c>
      <c r="D1960" t="s">
        <v>6641</v>
      </c>
      <c r="E1960">
        <v>3</v>
      </c>
      <c r="F1960" t="s">
        <v>6385</v>
      </c>
      <c r="G1960" t="s">
        <v>5600</v>
      </c>
      <c r="H1960" t="s">
        <v>6642</v>
      </c>
      <c r="I1960" t="s">
        <v>6643</v>
      </c>
    </row>
    <row r="1961" spans="1:9">
      <c r="A1961" t="str">
        <f>"0048775 "</f>
        <v xml:space="preserve">0048775 </v>
      </c>
      <c r="B1961" t="s">
        <v>5597</v>
      </c>
      <c r="C1961" t="s">
        <v>6644</v>
      </c>
      <c r="D1961" t="s">
        <v>6645</v>
      </c>
      <c r="E1961">
        <v>1</v>
      </c>
      <c r="F1961" t="s">
        <v>6646</v>
      </c>
      <c r="G1961" t="s">
        <v>5600</v>
      </c>
      <c r="H1961" t="s">
        <v>6647</v>
      </c>
      <c r="I1961" t="s">
        <v>6648</v>
      </c>
    </row>
    <row r="1962" spans="1:9">
      <c r="A1962" t="str">
        <f>"0030380 "</f>
        <v xml:space="preserve">0030380 </v>
      </c>
      <c r="B1962" t="s">
        <v>5597</v>
      </c>
      <c r="C1962" t="s">
        <v>6649</v>
      </c>
      <c r="D1962" t="s">
        <v>6650</v>
      </c>
      <c r="E1962" t="s">
        <v>20</v>
      </c>
      <c r="F1962" t="s">
        <v>6049</v>
      </c>
      <c r="G1962" t="s">
        <v>5600</v>
      </c>
      <c r="H1962" t="s">
        <v>6651</v>
      </c>
      <c r="I1962" t="s">
        <v>6652</v>
      </c>
    </row>
    <row r="1963" spans="1:9">
      <c r="A1963" t="str">
        <f>"0030381 "</f>
        <v xml:space="preserve">0030381 </v>
      </c>
      <c r="B1963" t="s">
        <v>5597</v>
      </c>
      <c r="C1963" t="s">
        <v>6653</v>
      </c>
      <c r="D1963" t="s">
        <v>6654</v>
      </c>
      <c r="E1963">
        <v>2</v>
      </c>
      <c r="F1963" t="s">
        <v>6655</v>
      </c>
      <c r="G1963" t="s">
        <v>5600</v>
      </c>
      <c r="H1963" t="s">
        <v>6656</v>
      </c>
      <c r="I1963" t="s">
        <v>6652</v>
      </c>
    </row>
    <row r="1964" spans="1:9">
      <c r="A1964" t="str">
        <f>"0030382 "</f>
        <v xml:space="preserve">0030382 </v>
      </c>
      <c r="B1964" t="s">
        <v>5597</v>
      </c>
      <c r="C1964" t="s">
        <v>6657</v>
      </c>
      <c r="D1964" t="s">
        <v>6658</v>
      </c>
      <c r="E1964">
        <v>1</v>
      </c>
      <c r="F1964" t="s">
        <v>6314</v>
      </c>
      <c r="G1964" t="s">
        <v>5600</v>
      </c>
      <c r="H1964" t="s">
        <v>6659</v>
      </c>
      <c r="I1964" t="s">
        <v>6660</v>
      </c>
    </row>
    <row r="1965" spans="1:9">
      <c r="A1965" t="str">
        <f>"0030383 "</f>
        <v xml:space="preserve">0030383 </v>
      </c>
      <c r="B1965" t="s">
        <v>5597</v>
      </c>
      <c r="C1965" t="s">
        <v>6661</v>
      </c>
      <c r="D1965" t="s">
        <v>6662</v>
      </c>
      <c r="E1965" t="s">
        <v>20</v>
      </c>
      <c r="F1965" t="s">
        <v>4520</v>
      </c>
      <c r="G1965" t="s">
        <v>5600</v>
      </c>
      <c r="H1965" t="s">
        <v>6663</v>
      </c>
      <c r="I1965" t="s">
        <v>6664</v>
      </c>
    </row>
    <row r="1966" spans="1:9">
      <c r="A1966" t="str">
        <f>"0030388 "</f>
        <v xml:space="preserve">0030388 </v>
      </c>
      <c r="B1966" t="s">
        <v>5597</v>
      </c>
      <c r="C1966" t="s">
        <v>6665</v>
      </c>
      <c r="D1966" t="s">
        <v>6666</v>
      </c>
      <c r="E1966">
        <v>1</v>
      </c>
      <c r="F1966" t="s">
        <v>6667</v>
      </c>
      <c r="G1966" t="s">
        <v>5600</v>
      </c>
      <c r="H1966" t="s">
        <v>6668</v>
      </c>
      <c r="I1966" t="s">
        <v>6669</v>
      </c>
    </row>
    <row r="1967" spans="1:9">
      <c r="A1967" t="str">
        <f>"0030389 "</f>
        <v xml:space="preserve">0030389 </v>
      </c>
      <c r="B1967" t="s">
        <v>5597</v>
      </c>
      <c r="C1967" t="s">
        <v>6670</v>
      </c>
      <c r="D1967" t="s">
        <v>6671</v>
      </c>
      <c r="E1967">
        <v>1</v>
      </c>
      <c r="F1967" t="s">
        <v>6672</v>
      </c>
      <c r="G1967" t="s">
        <v>5600</v>
      </c>
      <c r="H1967" t="s">
        <v>6673</v>
      </c>
      <c r="I1967" t="s">
        <v>6674</v>
      </c>
    </row>
    <row r="1968" spans="1:9">
      <c r="A1968" t="str">
        <f>"0030395 "</f>
        <v xml:space="preserve">0030395 </v>
      </c>
      <c r="B1968" t="s">
        <v>5597</v>
      </c>
      <c r="C1968" t="s">
        <v>6675</v>
      </c>
      <c r="D1968" t="s">
        <v>6676</v>
      </c>
      <c r="E1968">
        <v>1</v>
      </c>
      <c r="F1968" t="s">
        <v>6677</v>
      </c>
      <c r="G1968" t="s">
        <v>5600</v>
      </c>
      <c r="H1968" t="s">
        <v>6678</v>
      </c>
      <c r="I1968" t="s">
        <v>6679</v>
      </c>
    </row>
    <row r="1969" spans="1:9">
      <c r="A1969" t="str">
        <f>"0030403 "</f>
        <v xml:space="preserve">0030403 </v>
      </c>
      <c r="B1969" t="s">
        <v>5597</v>
      </c>
      <c r="C1969" t="s">
        <v>6680</v>
      </c>
      <c r="D1969" t="s">
        <v>6681</v>
      </c>
      <c r="E1969">
        <v>2</v>
      </c>
      <c r="F1969" t="s">
        <v>5689</v>
      </c>
      <c r="G1969" t="s">
        <v>5600</v>
      </c>
      <c r="H1969" t="s">
        <v>6682</v>
      </c>
      <c r="I1969" t="s">
        <v>6683</v>
      </c>
    </row>
    <row r="1970" spans="1:9">
      <c r="A1970" t="str">
        <f>"0030404 "</f>
        <v xml:space="preserve">0030404 </v>
      </c>
      <c r="B1970" t="s">
        <v>5597</v>
      </c>
      <c r="C1970" t="s">
        <v>6684</v>
      </c>
      <c r="D1970" t="s">
        <v>6685</v>
      </c>
      <c r="E1970">
        <v>1</v>
      </c>
      <c r="F1970" t="s">
        <v>4167</v>
      </c>
      <c r="G1970" t="s">
        <v>5600</v>
      </c>
      <c r="H1970" t="s">
        <v>6686</v>
      </c>
      <c r="I1970" t="s">
        <v>6687</v>
      </c>
    </row>
    <row r="1971" spans="1:9">
      <c r="A1971" t="str">
        <f>"0030405 "</f>
        <v xml:space="preserve">0030405 </v>
      </c>
      <c r="B1971" t="s">
        <v>5597</v>
      </c>
      <c r="C1971" t="s">
        <v>6688</v>
      </c>
      <c r="D1971" t="s">
        <v>6689</v>
      </c>
      <c r="E1971">
        <v>2</v>
      </c>
      <c r="F1971" t="s">
        <v>6005</v>
      </c>
      <c r="G1971" t="s">
        <v>5600</v>
      </c>
      <c r="H1971" t="s">
        <v>6690</v>
      </c>
      <c r="I1971" t="s">
        <v>6691</v>
      </c>
    </row>
    <row r="1972" spans="1:9">
      <c r="A1972" t="str">
        <f>"0048777 "</f>
        <v xml:space="preserve">0048777 </v>
      </c>
      <c r="B1972" t="s">
        <v>5597</v>
      </c>
      <c r="C1972" t="s">
        <v>6692</v>
      </c>
      <c r="D1972" t="s">
        <v>6693</v>
      </c>
      <c r="E1972">
        <v>1</v>
      </c>
      <c r="F1972" t="s">
        <v>6694</v>
      </c>
      <c r="G1972" t="s">
        <v>5600</v>
      </c>
      <c r="H1972" t="s">
        <v>6695</v>
      </c>
      <c r="I1972" t="s">
        <v>4642</v>
      </c>
    </row>
    <row r="1973" spans="1:9">
      <c r="A1973" t="str">
        <f>"0116615 "</f>
        <v xml:space="preserve">0116615 </v>
      </c>
      <c r="B1973" t="s">
        <v>5597</v>
      </c>
      <c r="C1973" t="s">
        <v>6696</v>
      </c>
      <c r="D1973" t="s">
        <v>6697</v>
      </c>
      <c r="E1973">
        <v>1</v>
      </c>
      <c r="F1973" t="s">
        <v>6698</v>
      </c>
      <c r="G1973" t="s">
        <v>5600</v>
      </c>
      <c r="H1973" t="s">
        <v>6699</v>
      </c>
      <c r="I1973" t="s">
        <v>6700</v>
      </c>
    </row>
    <row r="1974" spans="1:9">
      <c r="A1974" t="str">
        <f>"0048778 "</f>
        <v xml:space="preserve">0048778 </v>
      </c>
      <c r="B1974" t="s">
        <v>5597</v>
      </c>
      <c r="C1974" t="s">
        <v>6701</v>
      </c>
      <c r="D1974" t="s">
        <v>6702</v>
      </c>
      <c r="E1974">
        <v>1</v>
      </c>
      <c r="F1974" t="s">
        <v>6703</v>
      </c>
      <c r="G1974" t="s">
        <v>5600</v>
      </c>
      <c r="H1974" t="s">
        <v>6704</v>
      </c>
      <c r="I1974" t="s">
        <v>6705</v>
      </c>
    </row>
    <row r="1975" spans="1:9">
      <c r="A1975" t="str">
        <f>"0048779 "</f>
        <v xml:space="preserve">0048779 </v>
      </c>
      <c r="B1975" t="s">
        <v>5597</v>
      </c>
      <c r="C1975" t="s">
        <v>6706</v>
      </c>
      <c r="D1975" t="s">
        <v>6707</v>
      </c>
      <c r="E1975">
        <v>1</v>
      </c>
      <c r="F1975" t="s">
        <v>6708</v>
      </c>
      <c r="G1975" t="s">
        <v>5600</v>
      </c>
      <c r="H1975" t="s">
        <v>6709</v>
      </c>
      <c r="I1975" t="s">
        <v>6710</v>
      </c>
    </row>
    <row r="1976" spans="1:9">
      <c r="A1976" t="str">
        <f>"0030408 "</f>
        <v xml:space="preserve">0030408 </v>
      </c>
      <c r="B1976" t="s">
        <v>5597</v>
      </c>
      <c r="C1976" t="s">
        <v>6711</v>
      </c>
      <c r="D1976" t="s">
        <v>6712</v>
      </c>
      <c r="E1976" t="s">
        <v>20</v>
      </c>
      <c r="F1976" t="s">
        <v>6713</v>
      </c>
      <c r="G1976" t="s">
        <v>5600</v>
      </c>
      <c r="H1976" t="s">
        <v>6714</v>
      </c>
      <c r="I1976" t="s">
        <v>6715</v>
      </c>
    </row>
    <row r="1977" spans="1:9">
      <c r="A1977" t="str">
        <f>"0159240 "</f>
        <v xml:space="preserve">0159240 </v>
      </c>
      <c r="B1977" t="s">
        <v>5597</v>
      </c>
      <c r="C1977" t="s">
        <v>6716</v>
      </c>
      <c r="D1977" t="s">
        <v>6717</v>
      </c>
      <c r="E1977" t="s">
        <v>20</v>
      </c>
      <c r="F1977" t="s">
        <v>3081</v>
      </c>
      <c r="G1977" t="s">
        <v>5600</v>
      </c>
      <c r="H1977" t="s">
        <v>6718</v>
      </c>
      <c r="I1977" t="s">
        <v>6719</v>
      </c>
    </row>
    <row r="1978" spans="1:9">
      <c r="A1978" t="str">
        <f>"0159241 "</f>
        <v xml:space="preserve">0159241 </v>
      </c>
      <c r="B1978" t="s">
        <v>5597</v>
      </c>
      <c r="C1978" t="s">
        <v>6720</v>
      </c>
      <c r="D1978" t="s">
        <v>6721</v>
      </c>
      <c r="E1978">
        <v>1</v>
      </c>
      <c r="F1978" t="s">
        <v>6722</v>
      </c>
      <c r="G1978" t="s">
        <v>5600</v>
      </c>
      <c r="H1978" t="s">
        <v>6723</v>
      </c>
      <c r="I1978" t="s">
        <v>6724</v>
      </c>
    </row>
    <row r="1979" spans="1:9">
      <c r="A1979" t="str">
        <f>"0116708 "</f>
        <v xml:space="preserve">0116708 </v>
      </c>
      <c r="B1979" t="s">
        <v>5597</v>
      </c>
      <c r="C1979" t="s">
        <v>6725</v>
      </c>
      <c r="D1979" t="s">
        <v>6726</v>
      </c>
      <c r="E1979">
        <v>1</v>
      </c>
      <c r="F1979" t="s">
        <v>6727</v>
      </c>
      <c r="G1979" t="s">
        <v>5600</v>
      </c>
      <c r="H1979" t="s">
        <v>6728</v>
      </c>
      <c r="I1979" t="s">
        <v>758</v>
      </c>
    </row>
    <row r="1980" spans="1:9">
      <c r="A1980" t="str">
        <f>"0116614 "</f>
        <v xml:space="preserve">0116614 </v>
      </c>
      <c r="B1980" t="s">
        <v>5597</v>
      </c>
      <c r="C1980" t="s">
        <v>6729</v>
      </c>
      <c r="D1980" t="s">
        <v>6730</v>
      </c>
      <c r="E1980">
        <v>1</v>
      </c>
      <c r="F1980" t="s">
        <v>6731</v>
      </c>
      <c r="G1980" t="s">
        <v>5600</v>
      </c>
      <c r="H1980" t="s">
        <v>6732</v>
      </c>
      <c r="I1980" t="s">
        <v>6733</v>
      </c>
    </row>
    <row r="1981" spans="1:9">
      <c r="A1981" t="str">
        <f>"0202106 "</f>
        <v xml:space="preserve">0202106 </v>
      </c>
      <c r="B1981" t="s">
        <v>5597</v>
      </c>
      <c r="C1981" t="s">
        <v>6734</v>
      </c>
      <c r="D1981" t="s">
        <v>6735</v>
      </c>
      <c r="E1981">
        <v>1</v>
      </c>
      <c r="F1981" t="s">
        <v>6736</v>
      </c>
      <c r="G1981" t="s">
        <v>5600</v>
      </c>
      <c r="H1981" t="s">
        <v>6737</v>
      </c>
      <c r="I1981" t="s">
        <v>6738</v>
      </c>
    </row>
    <row r="1982" spans="1:9">
      <c r="A1982" t="str">
        <f>"0116710 "</f>
        <v xml:space="preserve">0116710 </v>
      </c>
      <c r="B1982" t="s">
        <v>5597</v>
      </c>
      <c r="C1982" t="s">
        <v>6739</v>
      </c>
      <c r="D1982" t="s">
        <v>6740</v>
      </c>
      <c r="E1982">
        <v>2</v>
      </c>
      <c r="F1982" t="s">
        <v>2356</v>
      </c>
      <c r="G1982" t="s">
        <v>5600</v>
      </c>
      <c r="H1982" t="s">
        <v>6741</v>
      </c>
      <c r="I1982" t="s">
        <v>6742</v>
      </c>
    </row>
    <row r="1983" spans="1:9">
      <c r="A1983" t="str">
        <f>"0161247 "</f>
        <v xml:space="preserve">0161247 </v>
      </c>
      <c r="B1983" t="s">
        <v>5597</v>
      </c>
      <c r="C1983" t="s">
        <v>6743</v>
      </c>
      <c r="D1983" t="s">
        <v>6744</v>
      </c>
      <c r="E1983">
        <v>3</v>
      </c>
      <c r="F1983" t="s">
        <v>6745</v>
      </c>
      <c r="G1983" t="s">
        <v>5600</v>
      </c>
      <c r="H1983" t="s">
        <v>6746</v>
      </c>
      <c r="I1983" t="s">
        <v>6747</v>
      </c>
    </row>
    <row r="1984" spans="1:9">
      <c r="A1984" t="str">
        <f>"0188085 "</f>
        <v xml:space="preserve">0188085 </v>
      </c>
      <c r="B1984" t="s">
        <v>5597</v>
      </c>
      <c r="C1984" t="s">
        <v>6748</v>
      </c>
      <c r="D1984" t="s">
        <v>6749</v>
      </c>
      <c r="E1984">
        <v>1</v>
      </c>
      <c r="F1984" t="s">
        <v>6750</v>
      </c>
      <c r="G1984" t="s">
        <v>5600</v>
      </c>
      <c r="H1984" t="s">
        <v>6751</v>
      </c>
      <c r="I1984" t="s">
        <v>6752</v>
      </c>
    </row>
    <row r="1985" spans="1:9">
      <c r="A1985" t="str">
        <f>"0188087 "</f>
        <v xml:space="preserve">0188087 </v>
      </c>
      <c r="B1985" t="s">
        <v>5597</v>
      </c>
      <c r="C1985" t="s">
        <v>6753</v>
      </c>
      <c r="D1985" t="s">
        <v>6754</v>
      </c>
      <c r="E1985" t="s">
        <v>20</v>
      </c>
      <c r="F1985" t="s">
        <v>6755</v>
      </c>
      <c r="G1985" t="s">
        <v>5600</v>
      </c>
      <c r="H1985" t="s">
        <v>6756</v>
      </c>
      <c r="I1985" t="s">
        <v>6757</v>
      </c>
    </row>
    <row r="1986" spans="1:9">
      <c r="A1986" t="str">
        <f>"0030412 "</f>
        <v xml:space="preserve">0030412 </v>
      </c>
      <c r="B1986" t="s">
        <v>5597</v>
      </c>
      <c r="C1986" t="s">
        <v>6758</v>
      </c>
      <c r="D1986" t="s">
        <v>6759</v>
      </c>
      <c r="E1986">
        <v>1</v>
      </c>
      <c r="F1986" t="s">
        <v>6760</v>
      </c>
      <c r="G1986" t="s">
        <v>5600</v>
      </c>
      <c r="H1986" t="s">
        <v>6761</v>
      </c>
      <c r="I1986" t="s">
        <v>6762</v>
      </c>
    </row>
    <row r="1987" spans="1:9">
      <c r="A1987" t="str">
        <f>"0188084 "</f>
        <v xml:space="preserve">0188084 </v>
      </c>
      <c r="B1987" t="s">
        <v>5597</v>
      </c>
      <c r="C1987" t="s">
        <v>6763</v>
      </c>
      <c r="D1987" t="s">
        <v>6764</v>
      </c>
      <c r="E1987" t="s">
        <v>20</v>
      </c>
      <c r="F1987" t="s">
        <v>6765</v>
      </c>
      <c r="G1987" t="s">
        <v>5600</v>
      </c>
      <c r="H1987" t="s">
        <v>6766</v>
      </c>
      <c r="I1987" t="s">
        <v>6767</v>
      </c>
    </row>
    <row r="1988" spans="1:9">
      <c r="A1988" t="str">
        <f>"0188092 "</f>
        <v xml:space="preserve">0188092 </v>
      </c>
      <c r="B1988" t="s">
        <v>5597</v>
      </c>
      <c r="C1988" t="s">
        <v>6768</v>
      </c>
      <c r="D1988" t="s">
        <v>6769</v>
      </c>
      <c r="E1988">
        <v>2</v>
      </c>
      <c r="F1988" t="s">
        <v>6770</v>
      </c>
      <c r="G1988" t="s">
        <v>5600</v>
      </c>
      <c r="H1988" t="s">
        <v>6771</v>
      </c>
      <c r="I1988" t="s">
        <v>6772</v>
      </c>
    </row>
    <row r="1989" spans="1:9">
      <c r="A1989" t="str">
        <f>"0116713 "</f>
        <v xml:space="preserve">0116713 </v>
      </c>
      <c r="B1989" t="s">
        <v>5597</v>
      </c>
      <c r="C1989" t="s">
        <v>6773</v>
      </c>
      <c r="D1989" t="s">
        <v>6774</v>
      </c>
      <c r="E1989">
        <v>3</v>
      </c>
      <c r="F1989" t="s">
        <v>6775</v>
      </c>
      <c r="G1989" t="s">
        <v>5600</v>
      </c>
      <c r="H1989" t="s">
        <v>6776</v>
      </c>
      <c r="I1989" t="s">
        <v>6777</v>
      </c>
    </row>
    <row r="1990" spans="1:9">
      <c r="A1990" t="str">
        <f>"0116689 "</f>
        <v xml:space="preserve">0116689 </v>
      </c>
      <c r="B1990" t="s">
        <v>5597</v>
      </c>
      <c r="C1990" t="s">
        <v>6778</v>
      </c>
      <c r="D1990" t="s">
        <v>6779</v>
      </c>
      <c r="E1990" t="s">
        <v>20</v>
      </c>
      <c r="F1990" t="s">
        <v>6780</v>
      </c>
      <c r="G1990" t="s">
        <v>5600</v>
      </c>
      <c r="H1990" t="s">
        <v>6781</v>
      </c>
      <c r="I1990" t="s">
        <v>6782</v>
      </c>
    </row>
    <row r="1991" spans="1:9">
      <c r="A1991" t="str">
        <f>"0030415 "</f>
        <v xml:space="preserve">0030415 </v>
      </c>
      <c r="B1991" t="s">
        <v>5597</v>
      </c>
      <c r="C1991" t="s">
        <v>6783</v>
      </c>
      <c r="D1991" t="s">
        <v>6784</v>
      </c>
      <c r="E1991" t="s">
        <v>20</v>
      </c>
      <c r="F1991" t="s">
        <v>5631</v>
      </c>
      <c r="G1991" t="s">
        <v>5600</v>
      </c>
      <c r="H1991" t="s">
        <v>6785</v>
      </c>
      <c r="I1991" t="s">
        <v>6786</v>
      </c>
    </row>
    <row r="1992" spans="1:9">
      <c r="A1992" t="str">
        <f>"0030416 "</f>
        <v xml:space="preserve">0030416 </v>
      </c>
      <c r="B1992" t="s">
        <v>5597</v>
      </c>
      <c r="C1992" t="s">
        <v>6787</v>
      </c>
      <c r="D1992" t="s">
        <v>6788</v>
      </c>
      <c r="E1992">
        <v>2</v>
      </c>
      <c r="F1992" t="s">
        <v>6789</v>
      </c>
      <c r="G1992" t="s">
        <v>5600</v>
      </c>
      <c r="H1992" t="s">
        <v>6790</v>
      </c>
      <c r="I1992" t="s">
        <v>6791</v>
      </c>
    </row>
    <row r="1993" spans="1:9">
      <c r="A1993" t="str">
        <f>"0030417 "</f>
        <v xml:space="preserve">0030417 </v>
      </c>
      <c r="B1993" t="s">
        <v>5597</v>
      </c>
      <c r="C1993" t="s">
        <v>6792</v>
      </c>
      <c r="D1993" t="s">
        <v>6793</v>
      </c>
      <c r="E1993" t="s">
        <v>20</v>
      </c>
      <c r="F1993" t="s">
        <v>6794</v>
      </c>
      <c r="G1993" t="s">
        <v>5600</v>
      </c>
      <c r="H1993" t="s">
        <v>6795</v>
      </c>
      <c r="I1993" t="s">
        <v>6796</v>
      </c>
    </row>
    <row r="1994" spans="1:9">
      <c r="A1994" t="str">
        <f>"0030420 "</f>
        <v xml:space="preserve">0030420 </v>
      </c>
      <c r="B1994" t="s">
        <v>5597</v>
      </c>
      <c r="C1994" t="s">
        <v>6797</v>
      </c>
      <c r="D1994" t="s">
        <v>6798</v>
      </c>
      <c r="E1994">
        <v>1</v>
      </c>
      <c r="F1994" t="s">
        <v>6799</v>
      </c>
      <c r="G1994" t="s">
        <v>5600</v>
      </c>
      <c r="H1994" t="s">
        <v>6800</v>
      </c>
      <c r="I1994" t="s">
        <v>6801</v>
      </c>
    </row>
    <row r="1995" spans="1:9">
      <c r="A1995" t="str">
        <f>"0030421 "</f>
        <v xml:space="preserve">0030421 </v>
      </c>
      <c r="B1995" t="s">
        <v>5597</v>
      </c>
      <c r="C1995" t="s">
        <v>6802</v>
      </c>
      <c r="D1995" t="s">
        <v>6803</v>
      </c>
      <c r="E1995">
        <v>2</v>
      </c>
      <c r="F1995" t="s">
        <v>6407</v>
      </c>
      <c r="G1995" t="s">
        <v>5600</v>
      </c>
      <c r="H1995" t="s">
        <v>6804</v>
      </c>
      <c r="I1995" t="s">
        <v>6805</v>
      </c>
    </row>
    <row r="1996" spans="1:9">
      <c r="A1996" t="str">
        <f>"0048760 "</f>
        <v xml:space="preserve">0048760 </v>
      </c>
      <c r="B1996" t="s">
        <v>5597</v>
      </c>
      <c r="C1996" t="s">
        <v>6806</v>
      </c>
      <c r="D1996" t="s">
        <v>6807</v>
      </c>
      <c r="E1996">
        <v>1</v>
      </c>
      <c r="F1996" t="s">
        <v>6808</v>
      </c>
      <c r="G1996" t="s">
        <v>5600</v>
      </c>
      <c r="H1996" t="s">
        <v>6809</v>
      </c>
      <c r="I1996" t="s">
        <v>2879</v>
      </c>
    </row>
    <row r="1997" spans="1:9">
      <c r="A1997" t="str">
        <f>"0030426 "</f>
        <v xml:space="preserve">0030426 </v>
      </c>
      <c r="B1997" t="s">
        <v>5597</v>
      </c>
      <c r="C1997" t="s">
        <v>6810</v>
      </c>
      <c r="D1997" t="s">
        <v>6811</v>
      </c>
      <c r="E1997">
        <v>1</v>
      </c>
      <c r="F1997" t="s">
        <v>6812</v>
      </c>
      <c r="G1997" t="s">
        <v>5600</v>
      </c>
      <c r="H1997" t="s">
        <v>6813</v>
      </c>
      <c r="I1997" t="s">
        <v>6814</v>
      </c>
    </row>
    <row r="1998" spans="1:9">
      <c r="A1998" t="str">
        <f>"0086638 "</f>
        <v xml:space="preserve">0086638 </v>
      </c>
      <c r="B1998" t="s">
        <v>5597</v>
      </c>
      <c r="C1998" t="s">
        <v>6815</v>
      </c>
      <c r="D1998" t="s">
        <v>6816</v>
      </c>
      <c r="E1998">
        <v>2</v>
      </c>
      <c r="F1998" t="s">
        <v>6817</v>
      </c>
      <c r="G1998" t="s">
        <v>5600</v>
      </c>
      <c r="H1998" t="s">
        <v>6818</v>
      </c>
      <c r="I1998" t="s">
        <v>6819</v>
      </c>
    </row>
    <row r="1999" spans="1:9">
      <c r="A1999" t="str">
        <f>"0202088 "</f>
        <v xml:space="preserve">0202088 </v>
      </c>
      <c r="B1999" t="s">
        <v>5597</v>
      </c>
      <c r="C1999" t="s">
        <v>6820</v>
      </c>
      <c r="D1999" t="s">
        <v>6821</v>
      </c>
      <c r="E1999">
        <v>1</v>
      </c>
      <c r="F1999" t="s">
        <v>6822</v>
      </c>
      <c r="G1999" t="s">
        <v>5600</v>
      </c>
      <c r="H1999" t="s">
        <v>6823</v>
      </c>
      <c r="I1999" t="s">
        <v>6824</v>
      </c>
    </row>
    <row r="2000" spans="1:9">
      <c r="A2000" t="str">
        <f>"0030428 "</f>
        <v xml:space="preserve">0030428 </v>
      </c>
      <c r="B2000" t="s">
        <v>5597</v>
      </c>
      <c r="C2000" t="s">
        <v>6825</v>
      </c>
      <c r="D2000" t="s">
        <v>6826</v>
      </c>
      <c r="E2000">
        <v>1</v>
      </c>
      <c r="F2000" t="s">
        <v>6827</v>
      </c>
      <c r="G2000" t="s">
        <v>5600</v>
      </c>
      <c r="H2000" t="s">
        <v>6828</v>
      </c>
      <c r="I2000" t="s">
        <v>6829</v>
      </c>
    </row>
    <row r="2001" spans="1:9">
      <c r="A2001" t="str">
        <f>"0030429 "</f>
        <v xml:space="preserve">0030429 </v>
      </c>
      <c r="B2001" t="s">
        <v>5597</v>
      </c>
      <c r="C2001" t="s">
        <v>6830</v>
      </c>
      <c r="D2001" t="s">
        <v>6831</v>
      </c>
      <c r="E2001" t="s">
        <v>20</v>
      </c>
      <c r="F2001" t="s">
        <v>6832</v>
      </c>
      <c r="G2001" t="s">
        <v>5600</v>
      </c>
      <c r="H2001" t="s">
        <v>6833</v>
      </c>
      <c r="I2001" t="s">
        <v>6834</v>
      </c>
    </row>
    <row r="2002" spans="1:9">
      <c r="A2002" t="str">
        <f>"0030430 "</f>
        <v xml:space="preserve">0030430 </v>
      </c>
      <c r="B2002" t="s">
        <v>5597</v>
      </c>
      <c r="C2002" t="s">
        <v>6835</v>
      </c>
      <c r="D2002" t="s">
        <v>6836</v>
      </c>
      <c r="E2002">
        <v>1</v>
      </c>
      <c r="F2002" t="s">
        <v>6837</v>
      </c>
      <c r="G2002" t="s">
        <v>5600</v>
      </c>
      <c r="H2002" t="s">
        <v>6838</v>
      </c>
      <c r="I2002" t="s">
        <v>6839</v>
      </c>
    </row>
    <row r="2003" spans="1:9">
      <c r="A2003" t="str">
        <f>"0030431 "</f>
        <v xml:space="preserve">0030431 </v>
      </c>
      <c r="B2003" t="s">
        <v>5597</v>
      </c>
      <c r="C2003" t="s">
        <v>6840</v>
      </c>
      <c r="D2003" t="s">
        <v>6841</v>
      </c>
      <c r="E2003" t="s">
        <v>20</v>
      </c>
      <c r="F2003" t="s">
        <v>6842</v>
      </c>
      <c r="G2003" t="s">
        <v>5600</v>
      </c>
      <c r="H2003" t="s">
        <v>6843</v>
      </c>
      <c r="I2003" t="s">
        <v>6844</v>
      </c>
    </row>
    <row r="2004" spans="1:9">
      <c r="A2004" t="str">
        <f>"0030432 "</f>
        <v xml:space="preserve">0030432 </v>
      </c>
      <c r="B2004" t="s">
        <v>5597</v>
      </c>
      <c r="C2004" t="s">
        <v>6845</v>
      </c>
      <c r="D2004" t="s">
        <v>6846</v>
      </c>
      <c r="E2004" t="s">
        <v>20</v>
      </c>
      <c r="F2004" t="s">
        <v>6847</v>
      </c>
      <c r="G2004" t="s">
        <v>5600</v>
      </c>
      <c r="H2004" t="s">
        <v>6848</v>
      </c>
      <c r="I2004" t="s">
        <v>6849</v>
      </c>
    </row>
    <row r="2005" spans="1:9">
      <c r="A2005" t="str">
        <f>"0030433 "</f>
        <v xml:space="preserve">0030433 </v>
      </c>
      <c r="B2005" t="s">
        <v>5597</v>
      </c>
      <c r="C2005" t="s">
        <v>6850</v>
      </c>
      <c r="D2005" t="s">
        <v>6851</v>
      </c>
      <c r="E2005">
        <v>1</v>
      </c>
      <c r="F2005" t="s">
        <v>6852</v>
      </c>
      <c r="G2005" t="s">
        <v>5600</v>
      </c>
      <c r="H2005" t="s">
        <v>6853</v>
      </c>
      <c r="I2005" t="s">
        <v>6854</v>
      </c>
    </row>
    <row r="2006" spans="1:9">
      <c r="A2006" t="str">
        <f>"0038166 "</f>
        <v xml:space="preserve">0038166 </v>
      </c>
      <c r="B2006" t="s">
        <v>5597</v>
      </c>
      <c r="C2006" t="s">
        <v>6855</v>
      </c>
      <c r="D2006" t="s">
        <v>6856</v>
      </c>
      <c r="E2006">
        <v>3</v>
      </c>
      <c r="F2006" t="s">
        <v>6857</v>
      </c>
      <c r="G2006" t="s">
        <v>5600</v>
      </c>
      <c r="H2006" t="s">
        <v>6858</v>
      </c>
      <c r="I2006" t="s">
        <v>6859</v>
      </c>
    </row>
    <row r="2007" spans="1:9">
      <c r="A2007" t="str">
        <f>"0116762 "</f>
        <v xml:space="preserve">0116762 </v>
      </c>
      <c r="B2007" t="s">
        <v>5597</v>
      </c>
      <c r="C2007" t="s">
        <v>6860</v>
      </c>
      <c r="D2007" t="s">
        <v>6861</v>
      </c>
      <c r="E2007">
        <v>1</v>
      </c>
      <c r="F2007" t="s">
        <v>6862</v>
      </c>
      <c r="G2007" t="s">
        <v>5600</v>
      </c>
      <c r="H2007" t="s">
        <v>6863</v>
      </c>
      <c r="I2007" t="s">
        <v>6864</v>
      </c>
    </row>
    <row r="2008" spans="1:9">
      <c r="A2008" t="str">
        <f>"0030437 "</f>
        <v xml:space="preserve">0030437 </v>
      </c>
      <c r="B2008" t="s">
        <v>5597</v>
      </c>
      <c r="C2008" t="s">
        <v>6865</v>
      </c>
      <c r="D2008" t="s">
        <v>6866</v>
      </c>
      <c r="E2008">
        <v>1</v>
      </c>
      <c r="F2008" t="s">
        <v>6867</v>
      </c>
      <c r="G2008" t="s">
        <v>5600</v>
      </c>
      <c r="H2008" t="s">
        <v>6868</v>
      </c>
      <c r="I2008" t="s">
        <v>6869</v>
      </c>
    </row>
    <row r="2009" spans="1:9">
      <c r="A2009" t="str">
        <f>"0030438 "</f>
        <v xml:space="preserve">0030438 </v>
      </c>
      <c r="B2009" t="s">
        <v>5597</v>
      </c>
      <c r="C2009" t="s">
        <v>6870</v>
      </c>
      <c r="D2009" t="s">
        <v>6871</v>
      </c>
      <c r="E2009" t="s">
        <v>20</v>
      </c>
      <c r="F2009" t="s">
        <v>6872</v>
      </c>
      <c r="G2009" t="s">
        <v>5600</v>
      </c>
      <c r="H2009" t="s">
        <v>6873</v>
      </c>
      <c r="I2009" t="s">
        <v>6874</v>
      </c>
    </row>
    <row r="2010" spans="1:9">
      <c r="A2010" t="str">
        <f>"0030439 "</f>
        <v xml:space="preserve">0030439 </v>
      </c>
      <c r="B2010" t="s">
        <v>5597</v>
      </c>
      <c r="C2010" t="s">
        <v>6875</v>
      </c>
      <c r="D2010" t="s">
        <v>6876</v>
      </c>
      <c r="E2010">
        <v>1</v>
      </c>
      <c r="F2010" t="s">
        <v>6703</v>
      </c>
      <c r="G2010" t="s">
        <v>5600</v>
      </c>
      <c r="H2010" t="s">
        <v>6877</v>
      </c>
      <c r="I2010" t="s">
        <v>6878</v>
      </c>
    </row>
    <row r="2011" spans="1:9">
      <c r="A2011" t="str">
        <f>"0159220 "</f>
        <v xml:space="preserve">0159220 </v>
      </c>
      <c r="B2011" t="s">
        <v>5597</v>
      </c>
      <c r="C2011" t="s">
        <v>6879</v>
      </c>
      <c r="D2011" t="s">
        <v>6880</v>
      </c>
      <c r="E2011">
        <v>1</v>
      </c>
      <c r="F2011" t="s">
        <v>6881</v>
      </c>
      <c r="G2011" t="s">
        <v>5600</v>
      </c>
      <c r="H2011" t="s">
        <v>6882</v>
      </c>
      <c r="I2011" t="s">
        <v>6883</v>
      </c>
    </row>
    <row r="2012" spans="1:9">
      <c r="A2012" t="str">
        <f>"0030441 "</f>
        <v xml:space="preserve">0030441 </v>
      </c>
      <c r="B2012" t="s">
        <v>5597</v>
      </c>
      <c r="C2012" t="s">
        <v>6884</v>
      </c>
      <c r="D2012" t="s">
        <v>6885</v>
      </c>
      <c r="E2012">
        <v>2</v>
      </c>
      <c r="F2012" t="s">
        <v>6886</v>
      </c>
      <c r="G2012" t="s">
        <v>5600</v>
      </c>
      <c r="H2012" t="s">
        <v>6887</v>
      </c>
      <c r="I2012" t="s">
        <v>6888</v>
      </c>
    </row>
    <row r="2013" spans="1:9">
      <c r="A2013" t="str">
        <f>"0030445 "</f>
        <v xml:space="preserve">0030445 </v>
      </c>
      <c r="B2013" t="s">
        <v>5597</v>
      </c>
      <c r="C2013" t="s">
        <v>6889</v>
      </c>
      <c r="D2013" t="s">
        <v>6890</v>
      </c>
      <c r="E2013">
        <v>2</v>
      </c>
      <c r="F2013" t="s">
        <v>5987</v>
      </c>
      <c r="G2013" t="s">
        <v>5600</v>
      </c>
      <c r="H2013" t="s">
        <v>6891</v>
      </c>
      <c r="I2013" t="s">
        <v>6892</v>
      </c>
    </row>
    <row r="2014" spans="1:9">
      <c r="A2014" t="str">
        <f>"0030446 "</f>
        <v xml:space="preserve">0030446 </v>
      </c>
      <c r="B2014" t="s">
        <v>5597</v>
      </c>
      <c r="C2014" t="s">
        <v>6893</v>
      </c>
      <c r="D2014" t="s">
        <v>6894</v>
      </c>
      <c r="E2014">
        <v>1</v>
      </c>
      <c r="F2014" t="s">
        <v>6895</v>
      </c>
      <c r="G2014" t="s">
        <v>5600</v>
      </c>
      <c r="H2014" t="s">
        <v>6896</v>
      </c>
      <c r="I2014" t="s">
        <v>471</v>
      </c>
    </row>
    <row r="2015" spans="1:9">
      <c r="A2015" t="str">
        <f>"0030447 "</f>
        <v xml:space="preserve">0030447 </v>
      </c>
      <c r="B2015" t="s">
        <v>5597</v>
      </c>
      <c r="C2015" t="s">
        <v>6897</v>
      </c>
      <c r="D2015" t="s">
        <v>6898</v>
      </c>
      <c r="E2015">
        <v>1</v>
      </c>
      <c r="F2015" t="s">
        <v>6899</v>
      </c>
      <c r="G2015" t="s">
        <v>5600</v>
      </c>
      <c r="H2015" t="s">
        <v>6900</v>
      </c>
      <c r="I2015" t="s">
        <v>6901</v>
      </c>
    </row>
    <row r="2016" spans="1:9">
      <c r="A2016" t="str">
        <f>"0030448 "</f>
        <v xml:space="preserve">0030448 </v>
      </c>
      <c r="B2016" t="s">
        <v>5597</v>
      </c>
      <c r="C2016" t="s">
        <v>6902</v>
      </c>
      <c r="D2016" t="s">
        <v>6903</v>
      </c>
      <c r="E2016">
        <v>5</v>
      </c>
      <c r="F2016" t="s">
        <v>6904</v>
      </c>
      <c r="G2016" t="s">
        <v>5600</v>
      </c>
      <c r="H2016" t="s">
        <v>6905</v>
      </c>
      <c r="I2016" t="s">
        <v>6906</v>
      </c>
    </row>
    <row r="2017" spans="1:9">
      <c r="A2017" t="str">
        <f>"0030455 "</f>
        <v xml:space="preserve">0030455 </v>
      </c>
      <c r="B2017" t="s">
        <v>5597</v>
      </c>
      <c r="C2017" t="s">
        <v>6907</v>
      </c>
      <c r="D2017" t="s">
        <v>6908</v>
      </c>
      <c r="E2017">
        <v>1</v>
      </c>
      <c r="F2017" t="s">
        <v>5953</v>
      </c>
      <c r="G2017" t="s">
        <v>5600</v>
      </c>
      <c r="H2017" t="s">
        <v>6909</v>
      </c>
      <c r="I2017" t="s">
        <v>6910</v>
      </c>
    </row>
    <row r="2018" spans="1:9">
      <c r="A2018" t="str">
        <f>"0030457 "</f>
        <v xml:space="preserve">0030457 </v>
      </c>
      <c r="B2018" t="s">
        <v>5597</v>
      </c>
      <c r="C2018" t="s">
        <v>6911</v>
      </c>
      <c r="D2018" t="s">
        <v>6912</v>
      </c>
      <c r="E2018">
        <v>2</v>
      </c>
      <c r="F2018" t="s">
        <v>6913</v>
      </c>
      <c r="G2018" t="s">
        <v>5600</v>
      </c>
      <c r="H2018" t="s">
        <v>6914</v>
      </c>
      <c r="I2018" t="s">
        <v>6915</v>
      </c>
    </row>
    <row r="2019" spans="1:9">
      <c r="A2019" t="str">
        <f>"0030458 "</f>
        <v xml:space="preserve">0030458 </v>
      </c>
      <c r="B2019" t="s">
        <v>5597</v>
      </c>
      <c r="C2019" t="s">
        <v>6916</v>
      </c>
      <c r="D2019" t="s">
        <v>6917</v>
      </c>
      <c r="E2019">
        <v>1</v>
      </c>
      <c r="F2019" t="s">
        <v>6918</v>
      </c>
      <c r="G2019" t="s">
        <v>5600</v>
      </c>
      <c r="H2019" t="s">
        <v>6919</v>
      </c>
      <c r="I2019" t="s">
        <v>6920</v>
      </c>
    </row>
    <row r="2020" spans="1:9">
      <c r="A2020" t="str">
        <f>"0030460 "</f>
        <v xml:space="preserve">0030460 </v>
      </c>
      <c r="B2020" t="s">
        <v>5597</v>
      </c>
      <c r="C2020" t="s">
        <v>6921</v>
      </c>
      <c r="D2020" t="s">
        <v>6922</v>
      </c>
      <c r="E2020">
        <v>2</v>
      </c>
      <c r="F2020" t="s">
        <v>6923</v>
      </c>
      <c r="G2020" t="s">
        <v>5600</v>
      </c>
      <c r="H2020" t="s">
        <v>6924</v>
      </c>
      <c r="I2020" t="s">
        <v>6925</v>
      </c>
    </row>
    <row r="2021" spans="1:9">
      <c r="A2021" t="str">
        <f>"0030461 "</f>
        <v xml:space="preserve">0030461 </v>
      </c>
      <c r="B2021" t="s">
        <v>5597</v>
      </c>
      <c r="C2021" t="s">
        <v>6926</v>
      </c>
      <c r="D2021" t="s">
        <v>6927</v>
      </c>
      <c r="E2021" t="s">
        <v>20</v>
      </c>
      <c r="F2021" t="s">
        <v>6928</v>
      </c>
      <c r="G2021" t="s">
        <v>5600</v>
      </c>
      <c r="H2021" t="s">
        <v>6929</v>
      </c>
      <c r="I2021" t="s">
        <v>6930</v>
      </c>
    </row>
    <row r="2022" spans="1:9">
      <c r="A2022" t="str">
        <f>"0030463 "</f>
        <v xml:space="preserve">0030463 </v>
      </c>
      <c r="B2022" t="s">
        <v>5597</v>
      </c>
      <c r="C2022" t="s">
        <v>6931</v>
      </c>
      <c r="D2022" t="s">
        <v>6932</v>
      </c>
      <c r="E2022">
        <v>1</v>
      </c>
      <c r="F2022" t="s">
        <v>2780</v>
      </c>
      <c r="G2022" t="s">
        <v>5600</v>
      </c>
      <c r="H2022" t="s">
        <v>6933</v>
      </c>
      <c r="I2022" t="s">
        <v>6934</v>
      </c>
    </row>
    <row r="2023" spans="1:9">
      <c r="A2023" t="str">
        <f>"0030467 "</f>
        <v xml:space="preserve">0030467 </v>
      </c>
      <c r="B2023" t="s">
        <v>5597</v>
      </c>
      <c r="C2023" t="s">
        <v>6935</v>
      </c>
      <c r="D2023" t="s">
        <v>6936</v>
      </c>
      <c r="E2023">
        <v>1</v>
      </c>
      <c r="F2023" t="s">
        <v>6937</v>
      </c>
      <c r="G2023" t="s">
        <v>5600</v>
      </c>
      <c r="H2023" t="s">
        <v>6938</v>
      </c>
      <c r="I2023" t="s">
        <v>6939</v>
      </c>
    </row>
    <row r="2024" spans="1:9">
      <c r="A2024" t="str">
        <f>"0030468 "</f>
        <v xml:space="preserve">0030468 </v>
      </c>
      <c r="B2024" t="s">
        <v>5597</v>
      </c>
      <c r="C2024" t="s">
        <v>6940</v>
      </c>
      <c r="D2024" t="s">
        <v>6941</v>
      </c>
      <c r="E2024" t="s">
        <v>20</v>
      </c>
      <c r="F2024" t="s">
        <v>5677</v>
      </c>
      <c r="G2024" t="s">
        <v>5600</v>
      </c>
      <c r="H2024" t="s">
        <v>6942</v>
      </c>
      <c r="I2024" t="s">
        <v>6943</v>
      </c>
    </row>
    <row r="2025" spans="1:9">
      <c r="A2025" t="str">
        <f>"0030469 "</f>
        <v xml:space="preserve">0030469 </v>
      </c>
      <c r="B2025" t="s">
        <v>5597</v>
      </c>
      <c r="C2025" t="s">
        <v>6944</v>
      </c>
      <c r="D2025" t="s">
        <v>6945</v>
      </c>
      <c r="E2025">
        <v>2</v>
      </c>
      <c r="F2025" t="s">
        <v>6703</v>
      </c>
      <c r="G2025" t="s">
        <v>5600</v>
      </c>
      <c r="H2025" t="s">
        <v>6946</v>
      </c>
      <c r="I2025" t="s">
        <v>6947</v>
      </c>
    </row>
    <row r="2026" spans="1:9">
      <c r="A2026" t="str">
        <f>"0030470 "</f>
        <v xml:space="preserve">0030470 </v>
      </c>
      <c r="B2026" t="s">
        <v>5597</v>
      </c>
      <c r="C2026" t="s">
        <v>6948</v>
      </c>
      <c r="D2026" t="s">
        <v>6949</v>
      </c>
      <c r="E2026">
        <v>2</v>
      </c>
      <c r="F2026" t="s">
        <v>6950</v>
      </c>
      <c r="G2026" t="s">
        <v>5600</v>
      </c>
      <c r="H2026" t="s">
        <v>6951</v>
      </c>
      <c r="I2026" t="s">
        <v>6952</v>
      </c>
    </row>
    <row r="2027" spans="1:9">
      <c r="A2027" t="str">
        <f>"0030471 "</f>
        <v xml:space="preserve">0030471 </v>
      </c>
      <c r="B2027" t="s">
        <v>5597</v>
      </c>
      <c r="C2027" t="s">
        <v>6953</v>
      </c>
      <c r="D2027" t="s">
        <v>6954</v>
      </c>
      <c r="E2027" t="s">
        <v>20</v>
      </c>
      <c r="F2027" t="s">
        <v>6955</v>
      </c>
      <c r="G2027" t="s">
        <v>5600</v>
      </c>
      <c r="H2027" t="s">
        <v>6956</v>
      </c>
      <c r="I2027" t="s">
        <v>6957</v>
      </c>
    </row>
    <row r="2028" spans="1:9">
      <c r="A2028" t="str">
        <f>"0030472 "</f>
        <v xml:space="preserve">0030472 </v>
      </c>
      <c r="B2028" t="s">
        <v>5597</v>
      </c>
      <c r="C2028" t="s">
        <v>6958</v>
      </c>
      <c r="D2028" t="s">
        <v>6959</v>
      </c>
      <c r="E2028">
        <v>1</v>
      </c>
      <c r="F2028" t="s">
        <v>6780</v>
      </c>
      <c r="G2028" t="s">
        <v>5600</v>
      </c>
      <c r="H2028" t="s">
        <v>6960</v>
      </c>
      <c r="I2028" t="s">
        <v>6961</v>
      </c>
    </row>
    <row r="2029" spans="1:9">
      <c r="A2029" t="str">
        <f>"0030479 "</f>
        <v xml:space="preserve">0030479 </v>
      </c>
      <c r="B2029" t="s">
        <v>5597</v>
      </c>
      <c r="C2029" t="s">
        <v>6962</v>
      </c>
      <c r="D2029" t="s">
        <v>6963</v>
      </c>
      <c r="E2029">
        <v>1</v>
      </c>
      <c r="F2029" t="s">
        <v>6964</v>
      </c>
      <c r="G2029" t="s">
        <v>5600</v>
      </c>
      <c r="H2029" t="s">
        <v>6965</v>
      </c>
      <c r="I2029" t="s">
        <v>6966</v>
      </c>
    </row>
    <row r="2030" spans="1:9">
      <c r="A2030" t="str">
        <f>"0030480 "</f>
        <v xml:space="preserve">0030480 </v>
      </c>
      <c r="B2030" t="s">
        <v>5597</v>
      </c>
      <c r="C2030" t="s">
        <v>6967</v>
      </c>
      <c r="D2030" t="s">
        <v>6968</v>
      </c>
      <c r="E2030">
        <v>1</v>
      </c>
      <c r="F2030" t="s">
        <v>6521</v>
      </c>
      <c r="G2030" t="s">
        <v>5600</v>
      </c>
      <c r="H2030" t="s">
        <v>6969</v>
      </c>
      <c r="I2030" t="s">
        <v>6970</v>
      </c>
    </row>
    <row r="2031" spans="1:9">
      <c r="A2031" t="str">
        <f>"0030483 "</f>
        <v xml:space="preserve">0030483 </v>
      </c>
      <c r="B2031" t="s">
        <v>5597</v>
      </c>
      <c r="C2031" t="s">
        <v>6971</v>
      </c>
      <c r="D2031" t="s">
        <v>6972</v>
      </c>
      <c r="E2031">
        <v>2</v>
      </c>
      <c r="F2031" t="s">
        <v>6973</v>
      </c>
      <c r="G2031" t="s">
        <v>5600</v>
      </c>
      <c r="H2031" t="s">
        <v>6974</v>
      </c>
      <c r="I2031" t="s">
        <v>6975</v>
      </c>
    </row>
    <row r="2032" spans="1:9">
      <c r="A2032" t="str">
        <f>"0030484 "</f>
        <v xml:space="preserve">0030484 </v>
      </c>
      <c r="B2032" t="s">
        <v>5597</v>
      </c>
      <c r="C2032" t="s">
        <v>6976</v>
      </c>
      <c r="D2032" t="s">
        <v>6977</v>
      </c>
      <c r="E2032">
        <v>4</v>
      </c>
      <c r="F2032" t="s">
        <v>6978</v>
      </c>
      <c r="G2032" t="s">
        <v>5600</v>
      </c>
      <c r="H2032" t="s">
        <v>6979</v>
      </c>
      <c r="I2032" t="s">
        <v>6980</v>
      </c>
    </row>
    <row r="2033" spans="1:9">
      <c r="A2033" t="str">
        <f>"0030485 "</f>
        <v xml:space="preserve">0030485 </v>
      </c>
      <c r="B2033" t="s">
        <v>5597</v>
      </c>
      <c r="C2033" t="s">
        <v>6981</v>
      </c>
      <c r="D2033" t="s">
        <v>6982</v>
      </c>
      <c r="E2033">
        <v>1</v>
      </c>
      <c r="F2033" t="s">
        <v>6983</v>
      </c>
      <c r="G2033" t="s">
        <v>5600</v>
      </c>
      <c r="H2033" t="s">
        <v>6984</v>
      </c>
      <c r="I2033" t="s">
        <v>6985</v>
      </c>
    </row>
    <row r="2034" spans="1:9">
      <c r="A2034" t="str">
        <f>"0030486 "</f>
        <v xml:space="preserve">0030486 </v>
      </c>
      <c r="B2034" t="s">
        <v>5597</v>
      </c>
      <c r="C2034" t="s">
        <v>6986</v>
      </c>
      <c r="D2034" t="s">
        <v>6987</v>
      </c>
      <c r="E2034">
        <v>4</v>
      </c>
      <c r="F2034" t="s">
        <v>6937</v>
      </c>
      <c r="G2034" t="s">
        <v>5600</v>
      </c>
      <c r="H2034" t="s">
        <v>6988</v>
      </c>
      <c r="I2034" t="s">
        <v>6989</v>
      </c>
    </row>
    <row r="2035" spans="1:9">
      <c r="A2035" t="str">
        <f>"0030487 "</f>
        <v xml:space="preserve">0030487 </v>
      </c>
      <c r="B2035" t="s">
        <v>5597</v>
      </c>
      <c r="C2035" t="s">
        <v>6990</v>
      </c>
      <c r="D2035" t="s">
        <v>6991</v>
      </c>
      <c r="E2035">
        <v>2</v>
      </c>
      <c r="F2035" t="s">
        <v>6992</v>
      </c>
      <c r="G2035" t="s">
        <v>5600</v>
      </c>
      <c r="H2035" t="s">
        <v>6993</v>
      </c>
      <c r="I2035" t="s">
        <v>6994</v>
      </c>
    </row>
    <row r="2036" spans="1:9">
      <c r="A2036" t="str">
        <f>"0030489 "</f>
        <v xml:space="preserve">0030489 </v>
      </c>
      <c r="B2036" t="s">
        <v>5597</v>
      </c>
      <c r="C2036" t="s">
        <v>6995</v>
      </c>
      <c r="D2036" t="s">
        <v>6996</v>
      </c>
      <c r="E2036">
        <v>2</v>
      </c>
      <c r="F2036" t="s">
        <v>6978</v>
      </c>
      <c r="G2036" t="s">
        <v>5600</v>
      </c>
      <c r="H2036" t="s">
        <v>6997</v>
      </c>
      <c r="I2036" t="s">
        <v>6998</v>
      </c>
    </row>
    <row r="2037" spans="1:9">
      <c r="A2037" t="str">
        <f>"0030490 "</f>
        <v xml:space="preserve">0030490 </v>
      </c>
      <c r="B2037" t="s">
        <v>5597</v>
      </c>
      <c r="C2037" t="s">
        <v>6999</v>
      </c>
      <c r="D2037" t="s">
        <v>7000</v>
      </c>
      <c r="E2037" t="s">
        <v>20</v>
      </c>
      <c r="F2037" t="s">
        <v>7001</v>
      </c>
      <c r="G2037" t="s">
        <v>5600</v>
      </c>
      <c r="H2037" t="s">
        <v>7002</v>
      </c>
      <c r="I2037" t="s">
        <v>7003</v>
      </c>
    </row>
    <row r="2038" spans="1:9">
      <c r="A2038" t="str">
        <f>"0030493 "</f>
        <v xml:space="preserve">0030493 </v>
      </c>
      <c r="B2038" t="s">
        <v>5597</v>
      </c>
      <c r="C2038" t="s">
        <v>7004</v>
      </c>
      <c r="D2038" t="s">
        <v>7005</v>
      </c>
      <c r="E2038">
        <v>1</v>
      </c>
      <c r="F2038" t="s">
        <v>7006</v>
      </c>
      <c r="G2038" t="s">
        <v>5600</v>
      </c>
      <c r="H2038" t="s">
        <v>7007</v>
      </c>
      <c r="I2038" t="s">
        <v>7008</v>
      </c>
    </row>
    <row r="2039" spans="1:9">
      <c r="A2039" t="str">
        <f>"0030496 "</f>
        <v xml:space="preserve">0030496 </v>
      </c>
      <c r="B2039" t="s">
        <v>5597</v>
      </c>
      <c r="C2039" t="s">
        <v>7009</v>
      </c>
      <c r="D2039" t="s">
        <v>7010</v>
      </c>
      <c r="E2039" t="s">
        <v>20</v>
      </c>
      <c r="F2039" t="s">
        <v>6488</v>
      </c>
      <c r="G2039" t="s">
        <v>5600</v>
      </c>
      <c r="H2039" t="s">
        <v>7011</v>
      </c>
      <c r="I2039" t="s">
        <v>7012</v>
      </c>
    </row>
    <row r="2040" spans="1:9">
      <c r="A2040" t="str">
        <f>"0030497 "</f>
        <v xml:space="preserve">0030497 </v>
      </c>
      <c r="B2040" t="s">
        <v>5597</v>
      </c>
      <c r="C2040" t="s">
        <v>7013</v>
      </c>
      <c r="D2040" t="s">
        <v>7014</v>
      </c>
      <c r="E2040">
        <v>2</v>
      </c>
      <c r="F2040" t="s">
        <v>6426</v>
      </c>
      <c r="G2040" t="s">
        <v>5600</v>
      </c>
      <c r="H2040" t="s">
        <v>7015</v>
      </c>
      <c r="I2040" t="s">
        <v>7016</v>
      </c>
    </row>
    <row r="2041" spans="1:9">
      <c r="A2041" t="str">
        <f>"0030498 "</f>
        <v xml:space="preserve">0030498 </v>
      </c>
      <c r="B2041" t="s">
        <v>5597</v>
      </c>
      <c r="C2041" t="s">
        <v>7017</v>
      </c>
      <c r="D2041" t="s">
        <v>7018</v>
      </c>
      <c r="E2041" t="s">
        <v>20</v>
      </c>
      <c r="F2041" t="s">
        <v>7019</v>
      </c>
      <c r="G2041" t="s">
        <v>5600</v>
      </c>
      <c r="H2041" t="s">
        <v>7020</v>
      </c>
      <c r="I2041" t="s">
        <v>327</v>
      </c>
    </row>
    <row r="2042" spans="1:9">
      <c r="A2042" t="str">
        <f>"0030499 "</f>
        <v xml:space="preserve">0030499 </v>
      </c>
      <c r="B2042" t="s">
        <v>5597</v>
      </c>
      <c r="C2042" t="s">
        <v>7021</v>
      </c>
      <c r="D2042" t="s">
        <v>7022</v>
      </c>
      <c r="E2042">
        <v>1</v>
      </c>
      <c r="F2042" t="s">
        <v>7023</v>
      </c>
      <c r="G2042" t="s">
        <v>5600</v>
      </c>
      <c r="H2042" t="s">
        <v>7024</v>
      </c>
      <c r="I2042" t="s">
        <v>7025</v>
      </c>
    </row>
    <row r="2043" spans="1:9">
      <c r="A2043" t="str">
        <f>"0030500 "</f>
        <v xml:space="preserve">0030500 </v>
      </c>
      <c r="B2043" t="s">
        <v>5597</v>
      </c>
      <c r="C2043" t="s">
        <v>7026</v>
      </c>
      <c r="D2043" t="s">
        <v>7027</v>
      </c>
      <c r="E2043">
        <v>4</v>
      </c>
      <c r="F2043" t="s">
        <v>7028</v>
      </c>
      <c r="G2043" t="s">
        <v>5600</v>
      </c>
      <c r="H2043" t="s">
        <v>7029</v>
      </c>
      <c r="I2043" t="s">
        <v>418</v>
      </c>
    </row>
    <row r="2044" spans="1:9">
      <c r="A2044" t="str">
        <f>"0030501 "</f>
        <v xml:space="preserve">0030501 </v>
      </c>
      <c r="B2044" t="s">
        <v>5597</v>
      </c>
      <c r="C2044" t="s">
        <v>7030</v>
      </c>
      <c r="D2044" t="s">
        <v>7031</v>
      </c>
      <c r="E2044">
        <v>2</v>
      </c>
      <c r="F2044" t="s">
        <v>7032</v>
      </c>
      <c r="G2044" t="s">
        <v>5600</v>
      </c>
      <c r="H2044" t="s">
        <v>7033</v>
      </c>
      <c r="I2044" t="s">
        <v>2997</v>
      </c>
    </row>
    <row r="2045" spans="1:9">
      <c r="A2045" t="str">
        <f>"0030502 "</f>
        <v xml:space="preserve">0030502 </v>
      </c>
      <c r="B2045" t="s">
        <v>5597</v>
      </c>
      <c r="C2045" t="s">
        <v>7034</v>
      </c>
      <c r="D2045" t="s">
        <v>7035</v>
      </c>
      <c r="E2045">
        <v>5</v>
      </c>
      <c r="F2045" t="s">
        <v>7023</v>
      </c>
      <c r="G2045" t="s">
        <v>5600</v>
      </c>
      <c r="H2045" t="s">
        <v>7036</v>
      </c>
      <c r="I2045" t="s">
        <v>7037</v>
      </c>
    </row>
    <row r="2046" spans="1:9">
      <c r="A2046" t="str">
        <f>"0030503 "</f>
        <v xml:space="preserve">0030503 </v>
      </c>
      <c r="B2046" t="s">
        <v>5597</v>
      </c>
      <c r="C2046" t="s">
        <v>7038</v>
      </c>
      <c r="D2046" t="s">
        <v>7039</v>
      </c>
      <c r="E2046" t="s">
        <v>20</v>
      </c>
      <c r="F2046" t="s">
        <v>7040</v>
      </c>
      <c r="G2046" t="s">
        <v>5600</v>
      </c>
      <c r="H2046" t="s">
        <v>7041</v>
      </c>
      <c r="I2046" t="s">
        <v>253</v>
      </c>
    </row>
    <row r="2047" spans="1:9">
      <c r="A2047" t="str">
        <f>"0030504 "</f>
        <v xml:space="preserve">0030504 </v>
      </c>
      <c r="B2047" t="s">
        <v>5597</v>
      </c>
      <c r="C2047" t="s">
        <v>7042</v>
      </c>
      <c r="D2047" t="s">
        <v>7043</v>
      </c>
      <c r="E2047" t="s">
        <v>20</v>
      </c>
      <c r="F2047" t="s">
        <v>7044</v>
      </c>
      <c r="G2047" t="s">
        <v>5600</v>
      </c>
      <c r="H2047" t="s">
        <v>7045</v>
      </c>
      <c r="I2047" t="s">
        <v>7046</v>
      </c>
    </row>
    <row r="2048" spans="1:9">
      <c r="A2048" t="str">
        <f>"0030505 "</f>
        <v xml:space="preserve">0030505 </v>
      </c>
      <c r="B2048" t="s">
        <v>5597</v>
      </c>
      <c r="C2048" t="s">
        <v>7047</v>
      </c>
      <c r="D2048" t="s">
        <v>7048</v>
      </c>
      <c r="E2048">
        <v>1</v>
      </c>
      <c r="F2048" t="s">
        <v>5244</v>
      </c>
      <c r="G2048" t="s">
        <v>5600</v>
      </c>
      <c r="H2048" t="s">
        <v>7049</v>
      </c>
      <c r="I2048" t="s">
        <v>265</v>
      </c>
    </row>
    <row r="2049" spans="1:9">
      <c r="A2049" t="str">
        <f>"0030516 "</f>
        <v xml:space="preserve">0030516 </v>
      </c>
      <c r="B2049" t="s">
        <v>5597</v>
      </c>
      <c r="C2049" t="s">
        <v>7050</v>
      </c>
      <c r="D2049" t="s">
        <v>7051</v>
      </c>
      <c r="E2049">
        <v>1</v>
      </c>
      <c r="F2049" t="s">
        <v>7052</v>
      </c>
      <c r="G2049" t="s">
        <v>5600</v>
      </c>
      <c r="H2049" t="s">
        <v>7053</v>
      </c>
      <c r="I2049" t="s">
        <v>7054</v>
      </c>
    </row>
    <row r="2050" spans="1:9">
      <c r="A2050" t="str">
        <f>"0030517 "</f>
        <v xml:space="preserve">0030517 </v>
      </c>
      <c r="B2050" t="s">
        <v>5597</v>
      </c>
      <c r="C2050" t="s">
        <v>7055</v>
      </c>
      <c r="D2050" t="s">
        <v>7056</v>
      </c>
      <c r="E2050">
        <v>1</v>
      </c>
      <c r="F2050" t="s">
        <v>6010</v>
      </c>
      <c r="G2050" t="s">
        <v>5600</v>
      </c>
      <c r="H2050" t="s">
        <v>7057</v>
      </c>
      <c r="I2050" t="s">
        <v>7058</v>
      </c>
    </row>
    <row r="2051" spans="1:9">
      <c r="A2051" t="str">
        <f>"0030520 "</f>
        <v xml:space="preserve">0030520 </v>
      </c>
      <c r="B2051" t="s">
        <v>5597</v>
      </c>
      <c r="C2051" t="s">
        <v>7059</v>
      </c>
      <c r="D2051" t="s">
        <v>7060</v>
      </c>
      <c r="E2051">
        <v>1</v>
      </c>
      <c r="F2051" t="s">
        <v>7061</v>
      </c>
      <c r="G2051" t="s">
        <v>5600</v>
      </c>
      <c r="H2051" t="s">
        <v>7062</v>
      </c>
      <c r="I2051" t="s">
        <v>7063</v>
      </c>
    </row>
    <row r="2052" spans="1:9">
      <c r="A2052" t="str">
        <f>"0030521 "</f>
        <v xml:space="preserve">0030521 </v>
      </c>
      <c r="B2052" t="s">
        <v>5597</v>
      </c>
      <c r="C2052" t="s">
        <v>7064</v>
      </c>
      <c r="D2052" t="s">
        <v>7065</v>
      </c>
      <c r="E2052">
        <v>1</v>
      </c>
      <c r="F2052" t="s">
        <v>7066</v>
      </c>
      <c r="G2052" t="s">
        <v>5600</v>
      </c>
      <c r="H2052" t="s">
        <v>7067</v>
      </c>
      <c r="I2052" t="s">
        <v>7068</v>
      </c>
    </row>
    <row r="2053" spans="1:9">
      <c r="A2053" t="str">
        <f>"0030524 "</f>
        <v xml:space="preserve">0030524 </v>
      </c>
      <c r="B2053" t="s">
        <v>5597</v>
      </c>
      <c r="C2053" t="s">
        <v>7069</v>
      </c>
      <c r="D2053" t="s">
        <v>7070</v>
      </c>
      <c r="E2053">
        <v>2</v>
      </c>
      <c r="F2053" t="s">
        <v>7071</v>
      </c>
      <c r="G2053" t="s">
        <v>5600</v>
      </c>
      <c r="H2053" t="s">
        <v>7072</v>
      </c>
      <c r="I2053" t="s">
        <v>7073</v>
      </c>
    </row>
    <row r="2054" spans="1:9">
      <c r="A2054" t="str">
        <f>"0030531 "</f>
        <v xml:space="preserve">0030531 </v>
      </c>
      <c r="B2054" t="s">
        <v>5597</v>
      </c>
      <c r="C2054" t="s">
        <v>7074</v>
      </c>
      <c r="D2054" t="s">
        <v>7075</v>
      </c>
      <c r="E2054">
        <v>1</v>
      </c>
      <c r="F2054" t="s">
        <v>7076</v>
      </c>
      <c r="G2054" t="s">
        <v>5600</v>
      </c>
      <c r="H2054" t="s">
        <v>7077</v>
      </c>
      <c r="I2054" t="s">
        <v>7078</v>
      </c>
    </row>
    <row r="2055" spans="1:9">
      <c r="A2055" t="str">
        <f>"0030533 "</f>
        <v xml:space="preserve">0030533 </v>
      </c>
      <c r="B2055" t="s">
        <v>5597</v>
      </c>
      <c r="C2055" t="s">
        <v>7079</v>
      </c>
      <c r="D2055" t="s">
        <v>7080</v>
      </c>
      <c r="E2055">
        <v>2</v>
      </c>
      <c r="F2055" t="s">
        <v>5620</v>
      </c>
      <c r="G2055" t="s">
        <v>5600</v>
      </c>
      <c r="H2055" t="s">
        <v>7081</v>
      </c>
      <c r="I2055" t="s">
        <v>7082</v>
      </c>
    </row>
    <row r="2056" spans="1:9">
      <c r="A2056" t="str">
        <f>"0030535 "</f>
        <v xml:space="preserve">0030535 </v>
      </c>
      <c r="B2056" t="s">
        <v>5597</v>
      </c>
      <c r="C2056" t="s">
        <v>7083</v>
      </c>
      <c r="D2056" t="s">
        <v>7084</v>
      </c>
      <c r="E2056">
        <v>1</v>
      </c>
      <c r="F2056" t="s">
        <v>7085</v>
      </c>
      <c r="G2056" t="s">
        <v>5600</v>
      </c>
      <c r="H2056" t="s">
        <v>7086</v>
      </c>
      <c r="I2056" t="s">
        <v>7087</v>
      </c>
    </row>
    <row r="2057" spans="1:9">
      <c r="A2057" t="str">
        <f>"0030536 "</f>
        <v xml:space="preserve">0030536 </v>
      </c>
      <c r="B2057" t="s">
        <v>5597</v>
      </c>
      <c r="C2057" t="s">
        <v>7088</v>
      </c>
      <c r="D2057" t="s">
        <v>7089</v>
      </c>
      <c r="E2057">
        <v>1</v>
      </c>
      <c r="F2057" t="s">
        <v>7090</v>
      </c>
      <c r="G2057" t="s">
        <v>5600</v>
      </c>
      <c r="H2057" t="s">
        <v>7091</v>
      </c>
      <c r="I2057" t="s">
        <v>7092</v>
      </c>
    </row>
    <row r="2058" spans="1:9">
      <c r="A2058" t="str">
        <f>"0116693 "</f>
        <v xml:space="preserve">0116693 </v>
      </c>
      <c r="B2058" t="s">
        <v>5597</v>
      </c>
      <c r="C2058" t="s">
        <v>7093</v>
      </c>
      <c r="D2058" t="s">
        <v>7094</v>
      </c>
      <c r="E2058">
        <v>1</v>
      </c>
      <c r="F2058" t="s">
        <v>6263</v>
      </c>
      <c r="G2058" t="s">
        <v>5600</v>
      </c>
      <c r="H2058" t="s">
        <v>7095</v>
      </c>
      <c r="I2058" t="s">
        <v>7096</v>
      </c>
    </row>
    <row r="2059" spans="1:9">
      <c r="A2059" t="str">
        <f>"0030538 "</f>
        <v xml:space="preserve">0030538 </v>
      </c>
      <c r="B2059" t="s">
        <v>5597</v>
      </c>
      <c r="C2059" t="s">
        <v>7097</v>
      </c>
      <c r="D2059" t="s">
        <v>7098</v>
      </c>
      <c r="E2059">
        <v>5</v>
      </c>
      <c r="F2059" t="s">
        <v>5913</v>
      </c>
      <c r="G2059" t="s">
        <v>5600</v>
      </c>
      <c r="H2059" t="s">
        <v>7099</v>
      </c>
      <c r="I2059" t="s">
        <v>3598</v>
      </c>
    </row>
    <row r="2060" spans="1:9">
      <c r="A2060" t="str">
        <f>"0030543 "</f>
        <v xml:space="preserve">0030543 </v>
      </c>
      <c r="B2060" t="s">
        <v>5597</v>
      </c>
      <c r="C2060" t="s">
        <v>7100</v>
      </c>
      <c r="D2060" t="s">
        <v>7101</v>
      </c>
      <c r="E2060">
        <v>1</v>
      </c>
      <c r="F2060" t="s">
        <v>6867</v>
      </c>
      <c r="G2060" t="s">
        <v>5600</v>
      </c>
      <c r="H2060" t="s">
        <v>7102</v>
      </c>
      <c r="I2060" t="s">
        <v>7103</v>
      </c>
    </row>
    <row r="2061" spans="1:9">
      <c r="A2061" t="str">
        <f>"0030545 "</f>
        <v xml:space="preserve">0030545 </v>
      </c>
      <c r="B2061" t="s">
        <v>5597</v>
      </c>
      <c r="C2061" t="s">
        <v>7104</v>
      </c>
      <c r="D2061" t="s">
        <v>7105</v>
      </c>
      <c r="E2061">
        <v>1</v>
      </c>
      <c r="F2061" t="s">
        <v>7106</v>
      </c>
      <c r="G2061" t="s">
        <v>5600</v>
      </c>
      <c r="H2061" t="s">
        <v>7107</v>
      </c>
      <c r="I2061" t="s">
        <v>7108</v>
      </c>
    </row>
    <row r="2062" spans="1:9">
      <c r="A2062" t="str">
        <f>"0030546 "</f>
        <v xml:space="preserve">0030546 </v>
      </c>
      <c r="B2062" t="s">
        <v>5597</v>
      </c>
      <c r="C2062" t="s">
        <v>7109</v>
      </c>
      <c r="D2062" t="s">
        <v>7110</v>
      </c>
      <c r="E2062">
        <v>1</v>
      </c>
      <c r="F2062" t="s">
        <v>5831</v>
      </c>
      <c r="G2062" t="s">
        <v>5600</v>
      </c>
      <c r="H2062" t="s">
        <v>7111</v>
      </c>
      <c r="I2062" t="s">
        <v>7112</v>
      </c>
    </row>
    <row r="2063" spans="1:9">
      <c r="A2063" t="str">
        <f>"0030547 "</f>
        <v xml:space="preserve">0030547 </v>
      </c>
      <c r="B2063" t="s">
        <v>5597</v>
      </c>
      <c r="C2063" t="s">
        <v>7113</v>
      </c>
      <c r="D2063" t="s">
        <v>7114</v>
      </c>
      <c r="E2063">
        <v>1</v>
      </c>
      <c r="F2063" t="s">
        <v>6421</v>
      </c>
      <c r="G2063" t="s">
        <v>5600</v>
      </c>
      <c r="H2063" t="s">
        <v>7115</v>
      </c>
      <c r="I2063" t="s">
        <v>7116</v>
      </c>
    </row>
    <row r="2064" spans="1:9">
      <c r="A2064" t="str">
        <f>"0030551 "</f>
        <v xml:space="preserve">0030551 </v>
      </c>
      <c r="B2064" t="s">
        <v>5597</v>
      </c>
      <c r="C2064" t="s">
        <v>7117</v>
      </c>
      <c r="D2064" t="s">
        <v>7118</v>
      </c>
      <c r="E2064">
        <v>2</v>
      </c>
      <c r="F2064" t="s">
        <v>7119</v>
      </c>
      <c r="G2064" t="s">
        <v>5600</v>
      </c>
      <c r="H2064" t="s">
        <v>7120</v>
      </c>
      <c r="I2064" t="s">
        <v>7121</v>
      </c>
    </row>
    <row r="2065" spans="1:9">
      <c r="A2065" t="str">
        <f>"0030554 "</f>
        <v xml:space="preserve">0030554 </v>
      </c>
      <c r="B2065" t="s">
        <v>5597</v>
      </c>
      <c r="C2065" t="s">
        <v>7122</v>
      </c>
      <c r="D2065" t="s">
        <v>7123</v>
      </c>
      <c r="E2065">
        <v>2</v>
      </c>
      <c r="F2065" t="s">
        <v>5857</v>
      </c>
      <c r="G2065" t="s">
        <v>5600</v>
      </c>
      <c r="H2065" t="s">
        <v>7124</v>
      </c>
      <c r="I2065" t="s">
        <v>4454</v>
      </c>
    </row>
    <row r="2066" spans="1:9">
      <c r="A2066" t="str">
        <f>"0030555 "</f>
        <v xml:space="preserve">0030555 </v>
      </c>
      <c r="B2066" t="s">
        <v>5597</v>
      </c>
      <c r="C2066" t="s">
        <v>7125</v>
      </c>
      <c r="D2066" t="s">
        <v>7126</v>
      </c>
      <c r="E2066">
        <v>4</v>
      </c>
      <c r="F2066" t="s">
        <v>7127</v>
      </c>
      <c r="G2066" t="s">
        <v>5600</v>
      </c>
      <c r="H2066" t="s">
        <v>7128</v>
      </c>
      <c r="I2066" t="s">
        <v>7129</v>
      </c>
    </row>
    <row r="2067" spans="1:9">
      <c r="A2067" t="str">
        <f>"0030556 "</f>
        <v xml:space="preserve">0030556 </v>
      </c>
      <c r="B2067" t="s">
        <v>5597</v>
      </c>
      <c r="C2067" t="s">
        <v>7130</v>
      </c>
      <c r="D2067" t="s">
        <v>7131</v>
      </c>
      <c r="E2067">
        <v>1</v>
      </c>
      <c r="F2067" t="s">
        <v>6221</v>
      </c>
      <c r="G2067" t="s">
        <v>5600</v>
      </c>
      <c r="H2067" t="s">
        <v>7132</v>
      </c>
      <c r="I2067" t="s">
        <v>7133</v>
      </c>
    </row>
    <row r="2068" spans="1:9">
      <c r="A2068" t="str">
        <f>"0030557 "</f>
        <v xml:space="preserve">0030557 </v>
      </c>
      <c r="B2068" t="s">
        <v>5597</v>
      </c>
      <c r="C2068" t="s">
        <v>7134</v>
      </c>
      <c r="D2068" t="s">
        <v>7135</v>
      </c>
      <c r="E2068">
        <v>2</v>
      </c>
      <c r="F2068" t="s">
        <v>6780</v>
      </c>
      <c r="G2068" t="s">
        <v>5600</v>
      </c>
      <c r="H2068" t="s">
        <v>7136</v>
      </c>
      <c r="I2068" t="s">
        <v>7137</v>
      </c>
    </row>
    <row r="2069" spans="1:9">
      <c r="A2069" t="str">
        <f>"0030559 "</f>
        <v xml:space="preserve">0030559 </v>
      </c>
      <c r="B2069" t="s">
        <v>5597</v>
      </c>
      <c r="C2069" t="s">
        <v>7138</v>
      </c>
      <c r="D2069" t="s">
        <v>7139</v>
      </c>
      <c r="E2069">
        <v>1</v>
      </c>
      <c r="F2069" t="s">
        <v>7140</v>
      </c>
      <c r="G2069" t="s">
        <v>5600</v>
      </c>
      <c r="H2069" t="s">
        <v>7141</v>
      </c>
      <c r="I2069" t="s">
        <v>7142</v>
      </c>
    </row>
    <row r="2070" spans="1:9">
      <c r="A2070" t="str">
        <f>"0116600 "</f>
        <v xml:space="preserve">0116600 </v>
      </c>
      <c r="B2070" t="s">
        <v>5597</v>
      </c>
      <c r="C2070" t="s">
        <v>7143</v>
      </c>
      <c r="D2070" t="s">
        <v>7144</v>
      </c>
      <c r="E2070">
        <v>1</v>
      </c>
      <c r="F2070" t="s">
        <v>7145</v>
      </c>
      <c r="G2070" t="s">
        <v>5600</v>
      </c>
      <c r="H2070" t="s">
        <v>7146</v>
      </c>
      <c r="I2070" t="s">
        <v>7147</v>
      </c>
    </row>
    <row r="2071" spans="1:9">
      <c r="A2071" t="str">
        <f>"0030561 "</f>
        <v xml:space="preserve">0030561 </v>
      </c>
      <c r="B2071" t="s">
        <v>5597</v>
      </c>
      <c r="C2071" t="s">
        <v>7148</v>
      </c>
      <c r="D2071" t="s">
        <v>7149</v>
      </c>
      <c r="E2071">
        <v>1</v>
      </c>
      <c r="F2071" t="s">
        <v>7150</v>
      </c>
      <c r="G2071" t="s">
        <v>5600</v>
      </c>
      <c r="H2071" t="s">
        <v>7151</v>
      </c>
      <c r="I2071" t="s">
        <v>7152</v>
      </c>
    </row>
    <row r="2072" spans="1:9">
      <c r="A2072" t="str">
        <f>"0030564 "</f>
        <v xml:space="preserve">0030564 </v>
      </c>
      <c r="B2072" t="s">
        <v>5597</v>
      </c>
      <c r="C2072" t="s">
        <v>7153</v>
      </c>
      <c r="D2072" t="s">
        <v>7154</v>
      </c>
      <c r="E2072">
        <v>1</v>
      </c>
      <c r="F2072" t="s">
        <v>4130</v>
      </c>
      <c r="G2072" t="s">
        <v>5600</v>
      </c>
      <c r="H2072" t="s">
        <v>7155</v>
      </c>
      <c r="I2072" t="s">
        <v>7156</v>
      </c>
    </row>
    <row r="2073" spans="1:9">
      <c r="A2073" t="str">
        <f>"0030568 "</f>
        <v xml:space="preserve">0030568 </v>
      </c>
      <c r="B2073" t="s">
        <v>5597</v>
      </c>
      <c r="C2073" t="s">
        <v>7157</v>
      </c>
      <c r="D2073" t="s">
        <v>7158</v>
      </c>
      <c r="E2073">
        <v>3</v>
      </c>
      <c r="F2073" t="s">
        <v>6402</v>
      </c>
      <c r="G2073" t="s">
        <v>5600</v>
      </c>
      <c r="H2073" t="s">
        <v>7159</v>
      </c>
      <c r="I2073" t="s">
        <v>7160</v>
      </c>
    </row>
    <row r="2074" spans="1:9">
      <c r="A2074" t="str">
        <f>"0030570 "</f>
        <v xml:space="preserve">0030570 </v>
      </c>
      <c r="B2074" t="s">
        <v>5597</v>
      </c>
      <c r="C2074" t="s">
        <v>7161</v>
      </c>
      <c r="D2074" t="s">
        <v>7162</v>
      </c>
      <c r="E2074">
        <v>1</v>
      </c>
      <c r="F2074" t="s">
        <v>6390</v>
      </c>
      <c r="G2074" t="s">
        <v>5600</v>
      </c>
      <c r="H2074" t="s">
        <v>7163</v>
      </c>
      <c r="I2074" t="s">
        <v>7164</v>
      </c>
    </row>
    <row r="2075" spans="1:9">
      <c r="A2075" t="str">
        <f>"0030571 "</f>
        <v xml:space="preserve">0030571 </v>
      </c>
      <c r="B2075" t="s">
        <v>5597</v>
      </c>
      <c r="C2075" t="s">
        <v>7165</v>
      </c>
      <c r="D2075" t="s">
        <v>7166</v>
      </c>
      <c r="E2075">
        <v>1</v>
      </c>
      <c r="F2075" t="s">
        <v>6750</v>
      </c>
      <c r="G2075" t="s">
        <v>5600</v>
      </c>
      <c r="H2075" t="s">
        <v>7167</v>
      </c>
      <c r="I2075" t="s">
        <v>7168</v>
      </c>
    </row>
    <row r="2076" spans="1:9">
      <c r="A2076" t="str">
        <f>"0030572 "</f>
        <v xml:space="preserve">0030572 </v>
      </c>
      <c r="B2076" t="s">
        <v>5597</v>
      </c>
      <c r="C2076" t="s">
        <v>7169</v>
      </c>
      <c r="D2076" t="s">
        <v>7170</v>
      </c>
      <c r="E2076" t="s">
        <v>20</v>
      </c>
      <c r="F2076" t="s">
        <v>7171</v>
      </c>
      <c r="G2076" t="s">
        <v>5600</v>
      </c>
      <c r="H2076" t="s">
        <v>7172</v>
      </c>
      <c r="I2076" t="s">
        <v>7173</v>
      </c>
    </row>
    <row r="2077" spans="1:9">
      <c r="A2077" t="str">
        <f>"0030573 "</f>
        <v xml:space="preserve">0030573 </v>
      </c>
      <c r="B2077" t="s">
        <v>5597</v>
      </c>
      <c r="C2077" t="s">
        <v>7174</v>
      </c>
      <c r="D2077" t="s">
        <v>7175</v>
      </c>
      <c r="E2077">
        <v>1</v>
      </c>
      <c r="F2077" t="s">
        <v>5933</v>
      </c>
      <c r="G2077" t="s">
        <v>5600</v>
      </c>
      <c r="H2077" t="s">
        <v>7176</v>
      </c>
      <c r="I2077" t="s">
        <v>7177</v>
      </c>
    </row>
    <row r="2078" spans="1:9">
      <c r="A2078" t="str">
        <f>"0030574 "</f>
        <v xml:space="preserve">0030574 </v>
      </c>
      <c r="B2078" t="s">
        <v>5597</v>
      </c>
      <c r="C2078" t="s">
        <v>7178</v>
      </c>
      <c r="D2078" t="s">
        <v>7179</v>
      </c>
      <c r="E2078" t="s">
        <v>20</v>
      </c>
      <c r="F2078" t="s">
        <v>4980</v>
      </c>
      <c r="G2078" t="s">
        <v>5600</v>
      </c>
      <c r="H2078" t="s">
        <v>7180</v>
      </c>
      <c r="I2078" t="s">
        <v>7181</v>
      </c>
    </row>
    <row r="2079" spans="1:9">
      <c r="A2079" t="str">
        <f>"0030575 "</f>
        <v xml:space="preserve">0030575 </v>
      </c>
      <c r="B2079" t="s">
        <v>5597</v>
      </c>
      <c r="C2079" t="s">
        <v>7182</v>
      </c>
      <c r="D2079" t="s">
        <v>7183</v>
      </c>
      <c r="E2079">
        <v>3</v>
      </c>
      <c r="F2079" t="s">
        <v>7184</v>
      </c>
      <c r="G2079" t="s">
        <v>5600</v>
      </c>
      <c r="H2079" t="s">
        <v>7185</v>
      </c>
      <c r="I2079" t="s">
        <v>7186</v>
      </c>
    </row>
    <row r="2080" spans="1:9">
      <c r="A2080" t="str">
        <f>"0030576 "</f>
        <v xml:space="preserve">0030576 </v>
      </c>
      <c r="B2080" t="s">
        <v>5597</v>
      </c>
      <c r="C2080" t="s">
        <v>7187</v>
      </c>
      <c r="D2080" t="s">
        <v>7188</v>
      </c>
      <c r="E2080">
        <v>2</v>
      </c>
      <c r="F2080" t="s">
        <v>7189</v>
      </c>
      <c r="G2080" t="s">
        <v>5600</v>
      </c>
      <c r="H2080" t="s">
        <v>7190</v>
      </c>
      <c r="I2080" t="s">
        <v>7191</v>
      </c>
    </row>
    <row r="2081" spans="1:9">
      <c r="A2081" t="str">
        <f>"0030578 "</f>
        <v xml:space="preserve">0030578 </v>
      </c>
      <c r="B2081" t="s">
        <v>5597</v>
      </c>
      <c r="C2081" t="s">
        <v>7192</v>
      </c>
      <c r="D2081" t="s">
        <v>7193</v>
      </c>
      <c r="E2081" t="s">
        <v>20</v>
      </c>
      <c r="F2081" t="s">
        <v>3024</v>
      </c>
      <c r="G2081" t="s">
        <v>5600</v>
      </c>
      <c r="H2081" t="s">
        <v>7194</v>
      </c>
      <c r="I2081" t="s">
        <v>7195</v>
      </c>
    </row>
    <row r="2082" spans="1:9">
      <c r="A2082" t="str">
        <f>"0030579 "</f>
        <v xml:space="preserve">0030579 </v>
      </c>
      <c r="B2082" t="s">
        <v>5597</v>
      </c>
      <c r="C2082" t="s">
        <v>7196</v>
      </c>
      <c r="D2082" t="s">
        <v>7197</v>
      </c>
      <c r="E2082" t="s">
        <v>20</v>
      </c>
      <c r="F2082" t="s">
        <v>5933</v>
      </c>
      <c r="G2082" t="s">
        <v>5600</v>
      </c>
      <c r="H2082" t="s">
        <v>7198</v>
      </c>
      <c r="I2082" t="s">
        <v>7199</v>
      </c>
    </row>
    <row r="2083" spans="1:9">
      <c r="A2083" t="str">
        <f>"0048765 "</f>
        <v xml:space="preserve">0048765 </v>
      </c>
      <c r="B2083" t="s">
        <v>5597</v>
      </c>
      <c r="C2083" t="s">
        <v>7200</v>
      </c>
      <c r="D2083" t="s">
        <v>7201</v>
      </c>
      <c r="E2083">
        <v>3</v>
      </c>
      <c r="F2083" t="s">
        <v>7202</v>
      </c>
      <c r="G2083" t="s">
        <v>5600</v>
      </c>
      <c r="H2083" t="s">
        <v>7203</v>
      </c>
      <c r="I2083" t="s">
        <v>7204</v>
      </c>
    </row>
    <row r="2084" spans="1:9">
      <c r="A2084" t="str">
        <f>"0030580 "</f>
        <v xml:space="preserve">0030580 </v>
      </c>
      <c r="B2084" t="s">
        <v>5597</v>
      </c>
      <c r="C2084" t="s">
        <v>7205</v>
      </c>
      <c r="D2084" t="s">
        <v>7206</v>
      </c>
      <c r="E2084">
        <v>2</v>
      </c>
      <c r="F2084" t="s">
        <v>1702</v>
      </c>
      <c r="G2084" t="s">
        <v>5600</v>
      </c>
      <c r="H2084" t="s">
        <v>7207</v>
      </c>
      <c r="I2084" t="s">
        <v>7208</v>
      </c>
    </row>
    <row r="2085" spans="1:9">
      <c r="A2085" t="str">
        <f>"0030581 "</f>
        <v xml:space="preserve">0030581 </v>
      </c>
      <c r="B2085" t="s">
        <v>5597</v>
      </c>
      <c r="C2085" t="s">
        <v>7209</v>
      </c>
      <c r="D2085" t="s">
        <v>7210</v>
      </c>
      <c r="E2085">
        <v>1</v>
      </c>
      <c r="F2085" t="s">
        <v>7211</v>
      </c>
      <c r="G2085" t="s">
        <v>5600</v>
      </c>
      <c r="H2085" t="s">
        <v>7212</v>
      </c>
      <c r="I2085" t="s">
        <v>7213</v>
      </c>
    </row>
    <row r="2086" spans="1:9">
      <c r="A2086" t="str">
        <f>"0030595 "</f>
        <v xml:space="preserve">0030595 </v>
      </c>
      <c r="B2086" t="s">
        <v>5597</v>
      </c>
      <c r="C2086" t="s">
        <v>7214</v>
      </c>
      <c r="D2086" t="s">
        <v>7215</v>
      </c>
      <c r="E2086">
        <v>1</v>
      </c>
      <c r="F2086" t="s">
        <v>5719</v>
      </c>
      <c r="G2086" t="s">
        <v>5600</v>
      </c>
      <c r="H2086" t="s">
        <v>7216</v>
      </c>
      <c r="I2086" t="s">
        <v>7217</v>
      </c>
    </row>
    <row r="2087" spans="1:9">
      <c r="A2087" t="str">
        <f>"0030601 "</f>
        <v xml:space="preserve">0030601 </v>
      </c>
      <c r="B2087" t="s">
        <v>5597</v>
      </c>
      <c r="C2087" t="s">
        <v>7218</v>
      </c>
      <c r="D2087" t="s">
        <v>7219</v>
      </c>
      <c r="E2087">
        <v>2</v>
      </c>
      <c r="F2087" t="s">
        <v>7220</v>
      </c>
      <c r="G2087" t="s">
        <v>5600</v>
      </c>
      <c r="H2087" t="s">
        <v>7221</v>
      </c>
      <c r="I2087" t="s">
        <v>7222</v>
      </c>
    </row>
    <row r="2088" spans="1:9">
      <c r="A2088" t="str">
        <f>"0116696 "</f>
        <v xml:space="preserve">0116696 </v>
      </c>
      <c r="B2088" t="s">
        <v>5597</v>
      </c>
      <c r="C2088" t="s">
        <v>7223</v>
      </c>
      <c r="D2088" t="s">
        <v>7224</v>
      </c>
      <c r="E2088">
        <v>1</v>
      </c>
      <c r="F2088" t="s">
        <v>7225</v>
      </c>
      <c r="G2088" t="s">
        <v>5600</v>
      </c>
      <c r="H2088" t="s">
        <v>7226</v>
      </c>
      <c r="I2088" t="s">
        <v>7227</v>
      </c>
    </row>
    <row r="2089" spans="1:9">
      <c r="A2089" t="str">
        <f>"0030605 "</f>
        <v xml:space="preserve">0030605 </v>
      </c>
      <c r="B2089" t="s">
        <v>5597</v>
      </c>
      <c r="C2089" t="s">
        <v>7228</v>
      </c>
      <c r="D2089" t="s">
        <v>7229</v>
      </c>
      <c r="E2089" t="s">
        <v>20</v>
      </c>
      <c r="F2089" t="s">
        <v>6234</v>
      </c>
      <c r="G2089" t="s">
        <v>5600</v>
      </c>
      <c r="H2089" t="s">
        <v>7230</v>
      </c>
      <c r="I2089" t="s">
        <v>7231</v>
      </c>
    </row>
    <row r="2090" spans="1:9">
      <c r="A2090" t="str">
        <f>"0030613 "</f>
        <v xml:space="preserve">0030613 </v>
      </c>
      <c r="B2090" t="s">
        <v>5597</v>
      </c>
      <c r="C2090" t="s">
        <v>7232</v>
      </c>
      <c r="D2090" t="s">
        <v>7233</v>
      </c>
      <c r="E2090">
        <v>1</v>
      </c>
      <c r="F2090" t="s">
        <v>7234</v>
      </c>
      <c r="G2090" t="s">
        <v>5600</v>
      </c>
      <c r="H2090" t="s">
        <v>7235</v>
      </c>
      <c r="I2090" t="s">
        <v>7236</v>
      </c>
    </row>
    <row r="2091" spans="1:9">
      <c r="A2091" t="str">
        <f>"0030614 "</f>
        <v xml:space="preserve">0030614 </v>
      </c>
      <c r="B2091" t="s">
        <v>5597</v>
      </c>
      <c r="C2091" t="s">
        <v>7237</v>
      </c>
      <c r="D2091" t="s">
        <v>7238</v>
      </c>
      <c r="E2091">
        <v>1</v>
      </c>
      <c r="F2091" t="s">
        <v>7239</v>
      </c>
      <c r="G2091" t="s">
        <v>5600</v>
      </c>
      <c r="H2091" t="s">
        <v>7240</v>
      </c>
      <c r="I2091" t="s">
        <v>7241</v>
      </c>
    </row>
    <row r="2092" spans="1:9">
      <c r="A2092" t="str">
        <f>"0030615 "</f>
        <v xml:space="preserve">0030615 </v>
      </c>
      <c r="B2092" t="s">
        <v>5597</v>
      </c>
      <c r="C2092" t="s">
        <v>7242</v>
      </c>
      <c r="D2092" t="s">
        <v>7243</v>
      </c>
      <c r="E2092">
        <v>2</v>
      </c>
      <c r="F2092" t="s">
        <v>5790</v>
      </c>
      <c r="G2092" t="s">
        <v>5600</v>
      </c>
      <c r="H2092" t="s">
        <v>7244</v>
      </c>
      <c r="I2092" t="s">
        <v>7245</v>
      </c>
    </row>
    <row r="2093" spans="1:9">
      <c r="A2093" t="str">
        <f>"0038175 "</f>
        <v xml:space="preserve">0038175 </v>
      </c>
      <c r="B2093" t="s">
        <v>5597</v>
      </c>
      <c r="C2093" t="s">
        <v>7246</v>
      </c>
      <c r="D2093" t="s">
        <v>7247</v>
      </c>
      <c r="E2093">
        <v>1</v>
      </c>
      <c r="F2093" t="s">
        <v>7248</v>
      </c>
      <c r="G2093" t="s">
        <v>5600</v>
      </c>
      <c r="H2093" t="s">
        <v>7249</v>
      </c>
      <c r="I2093" t="s">
        <v>4398</v>
      </c>
    </row>
    <row r="2094" spans="1:9">
      <c r="A2094" t="str">
        <f>"0159221 "</f>
        <v xml:space="preserve">0159221 </v>
      </c>
      <c r="B2094" t="s">
        <v>5597</v>
      </c>
      <c r="C2094" t="s">
        <v>7250</v>
      </c>
      <c r="D2094" t="s">
        <v>7251</v>
      </c>
      <c r="E2094">
        <v>2</v>
      </c>
      <c r="F2094" t="s">
        <v>7252</v>
      </c>
      <c r="G2094" t="s">
        <v>5600</v>
      </c>
      <c r="H2094" t="s">
        <v>7253</v>
      </c>
      <c r="I2094" t="s">
        <v>7254</v>
      </c>
    </row>
    <row r="2095" spans="1:9">
      <c r="A2095" t="str">
        <f>"0030618 "</f>
        <v xml:space="preserve">0030618 </v>
      </c>
      <c r="B2095" t="s">
        <v>5597</v>
      </c>
      <c r="C2095" t="s">
        <v>7255</v>
      </c>
      <c r="D2095" t="s">
        <v>7256</v>
      </c>
      <c r="E2095">
        <v>1</v>
      </c>
      <c r="F2095" t="s">
        <v>5780</v>
      </c>
      <c r="G2095" t="s">
        <v>5600</v>
      </c>
      <c r="H2095" t="s">
        <v>7257</v>
      </c>
      <c r="I2095" t="s">
        <v>7258</v>
      </c>
    </row>
    <row r="2096" spans="1:9">
      <c r="A2096" t="str">
        <f>"0030638 "</f>
        <v xml:space="preserve">0030638 </v>
      </c>
      <c r="B2096" t="s">
        <v>5597</v>
      </c>
      <c r="C2096" t="s">
        <v>7259</v>
      </c>
      <c r="D2096" t="s">
        <v>7260</v>
      </c>
      <c r="E2096" t="s">
        <v>20</v>
      </c>
      <c r="F2096" t="s">
        <v>7261</v>
      </c>
      <c r="G2096" t="s">
        <v>5600</v>
      </c>
      <c r="H2096" t="s">
        <v>7262</v>
      </c>
      <c r="I2096" t="s">
        <v>7263</v>
      </c>
    </row>
    <row r="2097" spans="1:9">
      <c r="A2097" t="str">
        <f>"0030639 "</f>
        <v xml:space="preserve">0030639 </v>
      </c>
      <c r="B2097" t="s">
        <v>5597</v>
      </c>
      <c r="C2097" t="s">
        <v>7264</v>
      </c>
      <c r="D2097" t="s">
        <v>7265</v>
      </c>
      <c r="E2097" t="s">
        <v>20</v>
      </c>
      <c r="F2097" t="s">
        <v>7266</v>
      </c>
      <c r="G2097" t="s">
        <v>5600</v>
      </c>
      <c r="H2097" t="s">
        <v>7267</v>
      </c>
      <c r="I2097" t="s">
        <v>7268</v>
      </c>
    </row>
    <row r="2098" spans="1:9">
      <c r="A2098" t="str">
        <f>"0030640 "</f>
        <v xml:space="preserve">0030640 </v>
      </c>
      <c r="B2098" t="s">
        <v>5597</v>
      </c>
      <c r="C2098" t="s">
        <v>7269</v>
      </c>
      <c r="D2098" t="s">
        <v>7270</v>
      </c>
      <c r="E2098">
        <v>1</v>
      </c>
      <c r="F2098" t="s">
        <v>7271</v>
      </c>
      <c r="G2098" t="s">
        <v>5600</v>
      </c>
      <c r="H2098" t="s">
        <v>7272</v>
      </c>
      <c r="I2098" t="s">
        <v>7273</v>
      </c>
    </row>
    <row r="2099" spans="1:9">
      <c r="A2099" t="str">
        <f>"0030641 "</f>
        <v xml:space="preserve">0030641 </v>
      </c>
      <c r="B2099" t="s">
        <v>5597</v>
      </c>
      <c r="C2099" t="s">
        <v>7274</v>
      </c>
      <c r="D2099" t="s">
        <v>7275</v>
      </c>
      <c r="E2099">
        <v>1</v>
      </c>
      <c r="F2099" t="s">
        <v>7276</v>
      </c>
      <c r="G2099" t="s">
        <v>5600</v>
      </c>
      <c r="H2099" t="s">
        <v>7277</v>
      </c>
      <c r="I2099" t="s">
        <v>7278</v>
      </c>
    </row>
    <row r="2100" spans="1:9">
      <c r="A2100" t="str">
        <f>"0030644 "</f>
        <v xml:space="preserve">0030644 </v>
      </c>
      <c r="B2100" t="s">
        <v>5597</v>
      </c>
      <c r="C2100" t="s">
        <v>7279</v>
      </c>
      <c r="D2100" t="s">
        <v>7280</v>
      </c>
      <c r="E2100">
        <v>1</v>
      </c>
      <c r="F2100" t="s">
        <v>7281</v>
      </c>
      <c r="G2100" t="s">
        <v>5600</v>
      </c>
      <c r="H2100" t="s">
        <v>7282</v>
      </c>
      <c r="I2100" t="s">
        <v>7283</v>
      </c>
    </row>
    <row r="2101" spans="1:9">
      <c r="A2101" t="str">
        <f>"0030646 "</f>
        <v xml:space="preserve">0030646 </v>
      </c>
      <c r="B2101" t="s">
        <v>5597</v>
      </c>
      <c r="C2101" t="s">
        <v>7284</v>
      </c>
      <c r="D2101" t="s">
        <v>7285</v>
      </c>
      <c r="E2101">
        <v>2</v>
      </c>
      <c r="F2101" t="s">
        <v>6983</v>
      </c>
      <c r="G2101" t="s">
        <v>5600</v>
      </c>
      <c r="H2101" t="s">
        <v>7286</v>
      </c>
      <c r="I2101" t="s">
        <v>7287</v>
      </c>
    </row>
    <row r="2102" spans="1:9">
      <c r="A2102" t="str">
        <f>"0030648 "</f>
        <v xml:space="preserve">0030648 </v>
      </c>
      <c r="B2102" t="s">
        <v>5597</v>
      </c>
      <c r="C2102" t="s">
        <v>7288</v>
      </c>
      <c r="D2102" t="s">
        <v>7289</v>
      </c>
      <c r="E2102">
        <v>2</v>
      </c>
      <c r="F2102" t="s">
        <v>7071</v>
      </c>
      <c r="G2102" t="s">
        <v>5600</v>
      </c>
      <c r="H2102" t="s">
        <v>7290</v>
      </c>
      <c r="I2102" t="s">
        <v>7291</v>
      </c>
    </row>
    <row r="2103" spans="1:9">
      <c r="A2103" t="str">
        <f>"0030650 "</f>
        <v xml:space="preserve">0030650 </v>
      </c>
      <c r="B2103" t="s">
        <v>5597</v>
      </c>
      <c r="C2103" t="s">
        <v>7292</v>
      </c>
      <c r="D2103" t="s">
        <v>7293</v>
      </c>
      <c r="E2103">
        <v>1</v>
      </c>
      <c r="F2103" t="s">
        <v>7294</v>
      </c>
      <c r="G2103" t="s">
        <v>5600</v>
      </c>
      <c r="H2103" t="s">
        <v>7295</v>
      </c>
      <c r="I2103" t="s">
        <v>7296</v>
      </c>
    </row>
    <row r="2104" spans="1:9">
      <c r="A2104" t="str">
        <f>"0031829 "</f>
        <v xml:space="preserve">0031829 </v>
      </c>
      <c r="B2104" t="s">
        <v>5597</v>
      </c>
      <c r="C2104" t="s">
        <v>7297</v>
      </c>
      <c r="D2104" t="s">
        <v>7298</v>
      </c>
      <c r="E2104" t="s">
        <v>20</v>
      </c>
      <c r="F2104" t="s">
        <v>7299</v>
      </c>
      <c r="G2104" t="s">
        <v>5600</v>
      </c>
      <c r="H2104" t="s">
        <v>7300</v>
      </c>
      <c r="I2104" t="s">
        <v>7301</v>
      </c>
    </row>
    <row r="2105" spans="1:9">
      <c r="A2105" t="str">
        <f>"0031830 "</f>
        <v xml:space="preserve">0031830 </v>
      </c>
      <c r="B2105" t="s">
        <v>5597</v>
      </c>
      <c r="C2105" t="s">
        <v>7302</v>
      </c>
      <c r="D2105" t="s">
        <v>7303</v>
      </c>
      <c r="E2105" t="s">
        <v>20</v>
      </c>
      <c r="F2105" t="s">
        <v>5659</v>
      </c>
      <c r="G2105" t="s">
        <v>5600</v>
      </c>
      <c r="H2105" t="s">
        <v>7304</v>
      </c>
      <c r="I2105" t="s">
        <v>7301</v>
      </c>
    </row>
    <row r="2106" spans="1:9">
      <c r="A2106" t="str">
        <f>"0031831 "</f>
        <v xml:space="preserve">0031831 </v>
      </c>
      <c r="B2106" t="s">
        <v>5597</v>
      </c>
      <c r="C2106" t="s">
        <v>7305</v>
      </c>
      <c r="D2106" t="s">
        <v>7306</v>
      </c>
      <c r="E2106" t="s">
        <v>20</v>
      </c>
      <c r="F2106" t="s">
        <v>7307</v>
      </c>
      <c r="G2106" t="s">
        <v>5600</v>
      </c>
      <c r="H2106" t="s">
        <v>7308</v>
      </c>
      <c r="I2106" t="s">
        <v>7301</v>
      </c>
    </row>
    <row r="2107" spans="1:9">
      <c r="A2107" t="str">
        <f>"0031832 "</f>
        <v xml:space="preserve">0031832 </v>
      </c>
      <c r="B2107" t="s">
        <v>5597</v>
      </c>
      <c r="C2107" t="s">
        <v>7309</v>
      </c>
      <c r="D2107" t="s">
        <v>7310</v>
      </c>
      <c r="E2107" t="s">
        <v>20</v>
      </c>
      <c r="F2107" t="s">
        <v>7311</v>
      </c>
      <c r="G2107" t="s">
        <v>5600</v>
      </c>
      <c r="H2107" t="s">
        <v>7312</v>
      </c>
      <c r="I2107" t="s">
        <v>7301</v>
      </c>
    </row>
    <row r="2108" spans="1:9">
      <c r="A2108" t="str">
        <f>"0030651 "</f>
        <v xml:space="preserve">0030651 </v>
      </c>
      <c r="B2108" t="s">
        <v>5597</v>
      </c>
      <c r="C2108" t="s">
        <v>7313</v>
      </c>
      <c r="D2108" t="s">
        <v>7314</v>
      </c>
      <c r="E2108">
        <v>1</v>
      </c>
      <c r="F2108" t="s">
        <v>7315</v>
      </c>
      <c r="G2108" t="s">
        <v>5600</v>
      </c>
      <c r="H2108" t="s">
        <v>7316</v>
      </c>
      <c r="I2108" t="s">
        <v>7317</v>
      </c>
    </row>
    <row r="2109" spans="1:9">
      <c r="A2109" t="str">
        <f>"0030656 "</f>
        <v xml:space="preserve">0030656 </v>
      </c>
      <c r="B2109" t="s">
        <v>5597</v>
      </c>
      <c r="C2109" t="s">
        <v>7318</v>
      </c>
      <c r="D2109" t="s">
        <v>7319</v>
      </c>
      <c r="E2109">
        <v>1</v>
      </c>
      <c r="F2109" t="s">
        <v>7320</v>
      </c>
      <c r="G2109" t="s">
        <v>5600</v>
      </c>
      <c r="H2109" t="s">
        <v>7321</v>
      </c>
      <c r="I2109" t="s">
        <v>7322</v>
      </c>
    </row>
    <row r="2110" spans="1:9">
      <c r="A2110" t="str">
        <f>"0030657 "</f>
        <v xml:space="preserve">0030657 </v>
      </c>
      <c r="B2110" t="s">
        <v>5597</v>
      </c>
      <c r="C2110" t="s">
        <v>7323</v>
      </c>
      <c r="D2110" t="s">
        <v>7324</v>
      </c>
      <c r="E2110">
        <v>1</v>
      </c>
      <c r="F2110" t="s">
        <v>7325</v>
      </c>
      <c r="G2110" t="s">
        <v>5600</v>
      </c>
      <c r="H2110" t="s">
        <v>7326</v>
      </c>
      <c r="I2110" t="s">
        <v>7327</v>
      </c>
    </row>
    <row r="2111" spans="1:9">
      <c r="A2111" t="str">
        <f>"0030658 "</f>
        <v xml:space="preserve">0030658 </v>
      </c>
      <c r="B2111" t="s">
        <v>5597</v>
      </c>
      <c r="C2111" t="s">
        <v>7328</v>
      </c>
      <c r="D2111" t="s">
        <v>7329</v>
      </c>
      <c r="E2111">
        <v>1</v>
      </c>
      <c r="F2111" t="s">
        <v>7330</v>
      </c>
      <c r="G2111" t="s">
        <v>5600</v>
      </c>
      <c r="H2111" t="s">
        <v>7331</v>
      </c>
      <c r="I2111" t="s">
        <v>7332</v>
      </c>
    </row>
    <row r="2112" spans="1:9">
      <c r="A2112" t="str">
        <f>"0030664 "</f>
        <v xml:space="preserve">0030664 </v>
      </c>
      <c r="B2112" t="s">
        <v>5597</v>
      </c>
      <c r="C2112" t="s">
        <v>7333</v>
      </c>
      <c r="D2112" t="s">
        <v>7334</v>
      </c>
      <c r="E2112">
        <v>3</v>
      </c>
      <c r="F2112" t="s">
        <v>5977</v>
      </c>
      <c r="G2112" t="s">
        <v>5600</v>
      </c>
      <c r="H2112" t="s">
        <v>7335</v>
      </c>
      <c r="I2112" t="s">
        <v>7336</v>
      </c>
    </row>
    <row r="2113" spans="1:9">
      <c r="A2113" t="str">
        <f>"0030665 "</f>
        <v xml:space="preserve">0030665 </v>
      </c>
      <c r="B2113" t="s">
        <v>5597</v>
      </c>
      <c r="C2113" t="s">
        <v>7337</v>
      </c>
      <c r="D2113" t="s">
        <v>7338</v>
      </c>
      <c r="E2113">
        <v>2</v>
      </c>
      <c r="F2113" t="s">
        <v>7339</v>
      </c>
      <c r="G2113" t="s">
        <v>5600</v>
      </c>
      <c r="H2113" t="s">
        <v>7340</v>
      </c>
      <c r="I2113" t="s">
        <v>7341</v>
      </c>
    </row>
    <row r="2114" spans="1:9">
      <c r="A2114" t="str">
        <f>"0030667 "</f>
        <v xml:space="preserve">0030667 </v>
      </c>
      <c r="B2114" t="s">
        <v>5597</v>
      </c>
      <c r="C2114" t="s">
        <v>7342</v>
      </c>
      <c r="D2114" t="s">
        <v>7343</v>
      </c>
      <c r="E2114">
        <v>1</v>
      </c>
      <c r="F2114" t="s">
        <v>7344</v>
      </c>
      <c r="G2114" t="s">
        <v>5600</v>
      </c>
      <c r="H2114" t="s">
        <v>7345</v>
      </c>
      <c r="I2114" t="s">
        <v>7346</v>
      </c>
    </row>
    <row r="2115" spans="1:9">
      <c r="A2115" t="str">
        <f>"0030672 "</f>
        <v xml:space="preserve">0030672 </v>
      </c>
      <c r="B2115" t="s">
        <v>5597</v>
      </c>
      <c r="C2115" t="s">
        <v>7347</v>
      </c>
      <c r="D2115" t="s">
        <v>7348</v>
      </c>
      <c r="E2115">
        <v>1</v>
      </c>
      <c r="F2115" t="s">
        <v>7349</v>
      </c>
      <c r="G2115" t="s">
        <v>5600</v>
      </c>
      <c r="H2115" t="s">
        <v>7350</v>
      </c>
      <c r="I2115" t="s">
        <v>7351</v>
      </c>
    </row>
    <row r="2116" spans="1:9">
      <c r="A2116" t="str">
        <f>"0030676 "</f>
        <v xml:space="preserve">0030676 </v>
      </c>
      <c r="B2116" t="s">
        <v>5597</v>
      </c>
      <c r="C2116" t="s">
        <v>7352</v>
      </c>
      <c r="D2116" t="s">
        <v>7353</v>
      </c>
      <c r="E2116">
        <v>1</v>
      </c>
      <c r="F2116" t="s">
        <v>7106</v>
      </c>
      <c r="G2116" t="s">
        <v>5600</v>
      </c>
      <c r="H2116" t="s">
        <v>7354</v>
      </c>
      <c r="I2116" t="s">
        <v>7355</v>
      </c>
    </row>
    <row r="2117" spans="1:9">
      <c r="A2117" t="str">
        <f>"0030683 "</f>
        <v xml:space="preserve">0030683 </v>
      </c>
      <c r="B2117" t="s">
        <v>5597</v>
      </c>
      <c r="C2117" t="s">
        <v>7356</v>
      </c>
      <c r="D2117" t="s">
        <v>7357</v>
      </c>
      <c r="E2117" t="s">
        <v>20</v>
      </c>
      <c r="F2117" t="s">
        <v>3101</v>
      </c>
      <c r="G2117" t="s">
        <v>5600</v>
      </c>
      <c r="H2117" t="s">
        <v>7358</v>
      </c>
      <c r="I2117" t="s">
        <v>7359</v>
      </c>
    </row>
    <row r="2118" spans="1:9">
      <c r="A2118" t="str">
        <f>"0030693 "</f>
        <v xml:space="preserve">0030693 </v>
      </c>
      <c r="B2118" t="s">
        <v>5597</v>
      </c>
      <c r="C2118" t="s">
        <v>7360</v>
      </c>
      <c r="D2118" t="s">
        <v>7361</v>
      </c>
      <c r="E2118">
        <v>1</v>
      </c>
      <c r="F2118" t="s">
        <v>7362</v>
      </c>
      <c r="G2118" t="s">
        <v>5600</v>
      </c>
      <c r="H2118" t="s">
        <v>7363</v>
      </c>
      <c r="I2118" t="s">
        <v>7364</v>
      </c>
    </row>
    <row r="2119" spans="1:9">
      <c r="A2119" t="str">
        <f>"0030695 "</f>
        <v xml:space="preserve">0030695 </v>
      </c>
      <c r="B2119" t="s">
        <v>5597</v>
      </c>
      <c r="C2119" t="s">
        <v>7365</v>
      </c>
      <c r="D2119" t="s">
        <v>7366</v>
      </c>
      <c r="E2119">
        <v>2</v>
      </c>
      <c r="F2119" t="s">
        <v>7367</v>
      </c>
      <c r="G2119" t="s">
        <v>5600</v>
      </c>
      <c r="H2119" t="s">
        <v>7368</v>
      </c>
      <c r="I2119" t="s">
        <v>7369</v>
      </c>
    </row>
    <row r="2120" spans="1:9">
      <c r="A2120" t="str">
        <f>"0030698 "</f>
        <v xml:space="preserve">0030698 </v>
      </c>
      <c r="B2120" t="s">
        <v>5597</v>
      </c>
      <c r="C2120" t="s">
        <v>7370</v>
      </c>
      <c r="D2120" t="s">
        <v>7371</v>
      </c>
      <c r="E2120">
        <v>1</v>
      </c>
      <c r="F2120" t="s">
        <v>7372</v>
      </c>
      <c r="G2120" t="s">
        <v>5600</v>
      </c>
      <c r="H2120" t="s">
        <v>7373</v>
      </c>
      <c r="I2120" t="s">
        <v>7374</v>
      </c>
    </row>
    <row r="2121" spans="1:9">
      <c r="A2121" t="str">
        <f>"0030700 "</f>
        <v xml:space="preserve">0030700 </v>
      </c>
      <c r="B2121" t="s">
        <v>5597</v>
      </c>
      <c r="C2121" t="s">
        <v>7375</v>
      </c>
      <c r="D2121" t="s">
        <v>7376</v>
      </c>
      <c r="E2121">
        <v>1</v>
      </c>
      <c r="F2121" t="s">
        <v>5913</v>
      </c>
      <c r="G2121" t="s">
        <v>5600</v>
      </c>
      <c r="H2121" t="s">
        <v>7377</v>
      </c>
      <c r="I2121" t="s">
        <v>7378</v>
      </c>
    </row>
    <row r="2122" spans="1:9">
      <c r="A2122" t="str">
        <f>"0030701 "</f>
        <v xml:space="preserve">0030701 </v>
      </c>
      <c r="B2122" t="s">
        <v>5597</v>
      </c>
      <c r="C2122" t="s">
        <v>7379</v>
      </c>
      <c r="D2122" t="s">
        <v>7380</v>
      </c>
      <c r="E2122">
        <v>1</v>
      </c>
      <c r="F2122" t="s">
        <v>7381</v>
      </c>
      <c r="G2122" t="s">
        <v>5600</v>
      </c>
      <c r="H2122" t="s">
        <v>7382</v>
      </c>
      <c r="I2122" t="s">
        <v>7383</v>
      </c>
    </row>
    <row r="2123" spans="1:9">
      <c r="A2123" t="str">
        <f>"0030708 "</f>
        <v xml:space="preserve">0030708 </v>
      </c>
      <c r="B2123" t="s">
        <v>5597</v>
      </c>
      <c r="C2123" t="s">
        <v>7384</v>
      </c>
      <c r="D2123" t="s">
        <v>7385</v>
      </c>
      <c r="E2123" t="s">
        <v>20</v>
      </c>
      <c r="F2123" t="s">
        <v>2270</v>
      </c>
      <c r="G2123" t="s">
        <v>5600</v>
      </c>
      <c r="H2123" t="s">
        <v>7386</v>
      </c>
      <c r="I2123" t="s">
        <v>7387</v>
      </c>
    </row>
    <row r="2124" spans="1:9">
      <c r="A2124" t="str">
        <f>"0030709 "</f>
        <v xml:space="preserve">0030709 </v>
      </c>
      <c r="B2124" t="s">
        <v>5597</v>
      </c>
      <c r="C2124" t="s">
        <v>7388</v>
      </c>
      <c r="D2124" t="s">
        <v>7389</v>
      </c>
      <c r="E2124">
        <v>2</v>
      </c>
      <c r="F2124" t="s">
        <v>7390</v>
      </c>
      <c r="G2124" t="s">
        <v>5600</v>
      </c>
      <c r="H2124" t="s">
        <v>7391</v>
      </c>
      <c r="I2124" t="s">
        <v>7392</v>
      </c>
    </row>
    <row r="2125" spans="1:9">
      <c r="A2125" t="str">
        <f>"0030710 "</f>
        <v xml:space="preserve">0030710 </v>
      </c>
      <c r="B2125" t="s">
        <v>5597</v>
      </c>
      <c r="C2125" t="s">
        <v>7393</v>
      </c>
      <c r="D2125" t="s">
        <v>7394</v>
      </c>
      <c r="E2125">
        <v>3</v>
      </c>
      <c r="F2125" t="s">
        <v>7395</v>
      </c>
      <c r="G2125" t="s">
        <v>5600</v>
      </c>
      <c r="H2125" t="s">
        <v>7396</v>
      </c>
      <c r="I2125" t="s">
        <v>7397</v>
      </c>
    </row>
    <row r="2126" spans="1:9">
      <c r="A2126" t="str">
        <f>"0030714 "</f>
        <v xml:space="preserve">0030714 </v>
      </c>
      <c r="B2126" t="s">
        <v>5597</v>
      </c>
      <c r="C2126" t="s">
        <v>7398</v>
      </c>
      <c r="D2126" t="s">
        <v>7399</v>
      </c>
      <c r="E2126">
        <v>2</v>
      </c>
      <c r="F2126" t="s">
        <v>7400</v>
      </c>
      <c r="G2126" t="s">
        <v>5600</v>
      </c>
      <c r="H2126" t="s">
        <v>7401</v>
      </c>
      <c r="I2126" t="s">
        <v>7402</v>
      </c>
    </row>
    <row r="2127" spans="1:9">
      <c r="A2127" t="str">
        <f>"0030715 "</f>
        <v xml:space="preserve">0030715 </v>
      </c>
      <c r="B2127" t="s">
        <v>5597</v>
      </c>
      <c r="C2127" t="s">
        <v>7403</v>
      </c>
      <c r="D2127" t="s">
        <v>7404</v>
      </c>
      <c r="E2127">
        <v>1</v>
      </c>
      <c r="F2127" t="s">
        <v>7405</v>
      </c>
      <c r="G2127" t="s">
        <v>5600</v>
      </c>
      <c r="H2127" t="s">
        <v>7406</v>
      </c>
      <c r="I2127" t="s">
        <v>7407</v>
      </c>
    </row>
    <row r="2128" spans="1:9">
      <c r="A2128" t="str">
        <f>"0030724 "</f>
        <v xml:space="preserve">0030724 </v>
      </c>
      <c r="B2128" t="s">
        <v>5597</v>
      </c>
      <c r="C2128" t="s">
        <v>7408</v>
      </c>
      <c r="D2128" t="s">
        <v>7409</v>
      </c>
      <c r="E2128">
        <v>2</v>
      </c>
      <c r="F2128" t="s">
        <v>3081</v>
      </c>
      <c r="G2128" t="s">
        <v>5600</v>
      </c>
      <c r="H2128" t="s">
        <v>7410</v>
      </c>
      <c r="I2128" t="s">
        <v>7411</v>
      </c>
    </row>
    <row r="2129" spans="1:9">
      <c r="A2129" t="str">
        <f>"0030727 "</f>
        <v xml:space="preserve">0030727 </v>
      </c>
      <c r="B2129" t="s">
        <v>5597</v>
      </c>
      <c r="C2129" t="s">
        <v>7412</v>
      </c>
      <c r="D2129" t="s">
        <v>7413</v>
      </c>
      <c r="E2129">
        <v>1</v>
      </c>
      <c r="F2129" t="s">
        <v>7414</v>
      </c>
      <c r="G2129" t="s">
        <v>5600</v>
      </c>
      <c r="H2129" t="s">
        <v>7415</v>
      </c>
      <c r="I2129" t="s">
        <v>7416</v>
      </c>
    </row>
    <row r="2130" spans="1:9">
      <c r="A2130" t="str">
        <f>"0030738 "</f>
        <v xml:space="preserve">0030738 </v>
      </c>
      <c r="B2130" t="s">
        <v>5597</v>
      </c>
      <c r="C2130" t="s">
        <v>7417</v>
      </c>
      <c r="D2130" t="s">
        <v>7418</v>
      </c>
      <c r="E2130">
        <v>1</v>
      </c>
      <c r="F2130" t="s">
        <v>5802</v>
      </c>
      <c r="G2130" t="s">
        <v>5600</v>
      </c>
      <c r="H2130" t="s">
        <v>7419</v>
      </c>
      <c r="I2130" t="s">
        <v>7420</v>
      </c>
    </row>
    <row r="2131" spans="1:9">
      <c r="A2131" t="str">
        <f>"0030739 "</f>
        <v xml:space="preserve">0030739 </v>
      </c>
      <c r="B2131" t="s">
        <v>5597</v>
      </c>
      <c r="C2131" t="s">
        <v>7421</v>
      </c>
      <c r="D2131" t="s">
        <v>7422</v>
      </c>
      <c r="E2131">
        <v>2</v>
      </c>
      <c r="F2131" t="s">
        <v>5689</v>
      </c>
      <c r="G2131" t="s">
        <v>5600</v>
      </c>
      <c r="H2131" t="s">
        <v>7423</v>
      </c>
      <c r="I2131" t="s">
        <v>7424</v>
      </c>
    </row>
    <row r="2132" spans="1:9">
      <c r="A2132" t="str">
        <f>"0030741 "</f>
        <v xml:space="preserve">0030741 </v>
      </c>
      <c r="B2132" t="s">
        <v>5597</v>
      </c>
      <c r="C2132" t="s">
        <v>7425</v>
      </c>
      <c r="D2132" t="s">
        <v>7426</v>
      </c>
      <c r="E2132">
        <v>2</v>
      </c>
      <c r="F2132" t="s">
        <v>1212</v>
      </c>
      <c r="G2132" t="s">
        <v>5600</v>
      </c>
      <c r="H2132" t="s">
        <v>7427</v>
      </c>
      <c r="I2132" t="s">
        <v>7428</v>
      </c>
    </row>
    <row r="2133" spans="1:9">
      <c r="A2133" t="str">
        <f>"0030742 "</f>
        <v xml:space="preserve">0030742 </v>
      </c>
      <c r="B2133" t="s">
        <v>5597</v>
      </c>
      <c r="C2133" t="s">
        <v>7429</v>
      </c>
      <c r="D2133" t="s">
        <v>7430</v>
      </c>
      <c r="E2133">
        <v>1</v>
      </c>
      <c r="F2133" t="s">
        <v>7431</v>
      </c>
      <c r="G2133" t="s">
        <v>5600</v>
      </c>
      <c r="H2133" t="s">
        <v>7432</v>
      </c>
      <c r="I2133" t="s">
        <v>7433</v>
      </c>
    </row>
    <row r="2134" spans="1:9">
      <c r="A2134" t="str">
        <f>"0030750 "</f>
        <v xml:space="preserve">0030750 </v>
      </c>
      <c r="B2134" t="s">
        <v>5597</v>
      </c>
      <c r="C2134" t="s">
        <v>7434</v>
      </c>
      <c r="D2134" t="s">
        <v>7435</v>
      </c>
      <c r="E2134">
        <v>1</v>
      </c>
      <c r="F2134" t="s">
        <v>6323</v>
      </c>
      <c r="G2134" t="s">
        <v>5600</v>
      </c>
      <c r="H2134" t="s">
        <v>7436</v>
      </c>
      <c r="I2134" t="s">
        <v>7437</v>
      </c>
    </row>
    <row r="2135" spans="1:9">
      <c r="A2135" t="str">
        <f>"0030754 "</f>
        <v xml:space="preserve">0030754 </v>
      </c>
      <c r="B2135" t="s">
        <v>5597</v>
      </c>
      <c r="C2135" t="s">
        <v>7438</v>
      </c>
      <c r="D2135" t="s">
        <v>7439</v>
      </c>
      <c r="E2135">
        <v>2</v>
      </c>
      <c r="F2135" t="s">
        <v>7440</v>
      </c>
      <c r="G2135" t="s">
        <v>5600</v>
      </c>
      <c r="H2135" t="s">
        <v>7441</v>
      </c>
      <c r="I2135" t="s">
        <v>7442</v>
      </c>
    </row>
    <row r="2136" spans="1:9">
      <c r="A2136" t="str">
        <f>"0048770 "</f>
        <v xml:space="preserve">0048770 </v>
      </c>
      <c r="B2136" t="s">
        <v>5597</v>
      </c>
      <c r="C2136" t="s">
        <v>7443</v>
      </c>
      <c r="D2136" t="s">
        <v>7444</v>
      </c>
      <c r="E2136">
        <v>2</v>
      </c>
      <c r="F2136" t="s">
        <v>7440</v>
      </c>
      <c r="G2136" t="s">
        <v>5600</v>
      </c>
      <c r="H2136" t="s">
        <v>7445</v>
      </c>
      <c r="I2136" t="s">
        <v>7446</v>
      </c>
    </row>
    <row r="2137" spans="1:9">
      <c r="A2137" t="str">
        <f>"0030785 "</f>
        <v xml:space="preserve">0030785 </v>
      </c>
      <c r="B2137" t="s">
        <v>5597</v>
      </c>
      <c r="C2137" t="s">
        <v>7447</v>
      </c>
      <c r="D2137" t="s">
        <v>7448</v>
      </c>
      <c r="E2137">
        <v>1</v>
      </c>
      <c r="F2137" t="s">
        <v>7449</v>
      </c>
      <c r="G2137" t="s">
        <v>5600</v>
      </c>
      <c r="H2137" t="s">
        <v>7450</v>
      </c>
      <c r="I2137" t="s">
        <v>4446</v>
      </c>
    </row>
    <row r="2138" spans="1:9">
      <c r="A2138" t="str">
        <f>"0030786 "</f>
        <v xml:space="preserve">0030786 </v>
      </c>
      <c r="B2138" t="s">
        <v>5597</v>
      </c>
      <c r="C2138" t="s">
        <v>7451</v>
      </c>
      <c r="D2138" t="s">
        <v>7452</v>
      </c>
      <c r="E2138" t="s">
        <v>20</v>
      </c>
      <c r="F2138" t="s">
        <v>7453</v>
      </c>
      <c r="G2138" t="s">
        <v>5600</v>
      </c>
      <c r="H2138" t="s">
        <v>7454</v>
      </c>
      <c r="I2138" t="s">
        <v>7455</v>
      </c>
    </row>
    <row r="2139" spans="1:9">
      <c r="A2139" t="str">
        <f>"0030796 "</f>
        <v xml:space="preserve">0030796 </v>
      </c>
      <c r="B2139" t="s">
        <v>5597</v>
      </c>
      <c r="C2139" t="s">
        <v>7456</v>
      </c>
      <c r="D2139" t="s">
        <v>7457</v>
      </c>
      <c r="E2139">
        <v>5</v>
      </c>
      <c r="F2139" t="s">
        <v>7458</v>
      </c>
      <c r="G2139" t="s">
        <v>5600</v>
      </c>
      <c r="H2139" t="s">
        <v>7459</v>
      </c>
      <c r="I2139" t="s">
        <v>128</v>
      </c>
    </row>
    <row r="2140" spans="1:9">
      <c r="A2140" t="str">
        <f>"0030797 "</f>
        <v xml:space="preserve">0030797 </v>
      </c>
      <c r="B2140" t="s">
        <v>5597</v>
      </c>
      <c r="C2140" t="s">
        <v>7460</v>
      </c>
      <c r="D2140" t="s">
        <v>7461</v>
      </c>
      <c r="E2140">
        <v>2</v>
      </c>
      <c r="F2140" t="s">
        <v>7462</v>
      </c>
      <c r="G2140" t="s">
        <v>5600</v>
      </c>
      <c r="H2140" t="s">
        <v>7463</v>
      </c>
      <c r="I2140" t="s">
        <v>7464</v>
      </c>
    </row>
    <row r="2141" spans="1:9">
      <c r="A2141" t="str">
        <f>"0030812 "</f>
        <v xml:space="preserve">0030812 </v>
      </c>
      <c r="B2141" t="s">
        <v>5597</v>
      </c>
      <c r="C2141" t="s">
        <v>7465</v>
      </c>
      <c r="D2141" t="s">
        <v>7466</v>
      </c>
      <c r="E2141">
        <v>1</v>
      </c>
      <c r="F2141" t="s">
        <v>7467</v>
      </c>
      <c r="G2141" t="s">
        <v>5600</v>
      </c>
      <c r="H2141" t="s">
        <v>7468</v>
      </c>
      <c r="I2141" t="s">
        <v>7469</v>
      </c>
    </row>
    <row r="2142" spans="1:9">
      <c r="A2142" t="str">
        <f>"0030820 "</f>
        <v xml:space="preserve">0030820 </v>
      </c>
      <c r="B2142" t="s">
        <v>5597</v>
      </c>
      <c r="C2142" t="s">
        <v>7470</v>
      </c>
      <c r="D2142" t="s">
        <v>7471</v>
      </c>
      <c r="E2142">
        <v>1</v>
      </c>
      <c r="F2142" t="s">
        <v>7472</v>
      </c>
      <c r="G2142" t="s">
        <v>5600</v>
      </c>
      <c r="H2142" t="s">
        <v>7473</v>
      </c>
      <c r="I2142" t="s">
        <v>7474</v>
      </c>
    </row>
    <row r="2143" spans="1:9">
      <c r="A2143" t="str">
        <f>"0030850 "</f>
        <v xml:space="preserve">0030850 </v>
      </c>
      <c r="B2143" t="s">
        <v>5597</v>
      </c>
      <c r="C2143" t="s">
        <v>7475</v>
      </c>
      <c r="D2143" t="s">
        <v>7476</v>
      </c>
      <c r="E2143">
        <v>1</v>
      </c>
      <c r="F2143" t="s">
        <v>7477</v>
      </c>
      <c r="G2143" t="s">
        <v>5600</v>
      </c>
      <c r="H2143" t="s">
        <v>7478</v>
      </c>
      <c r="I2143" t="s">
        <v>7479</v>
      </c>
    </row>
    <row r="2144" spans="1:9">
      <c r="A2144" t="str">
        <f>"0030852 "</f>
        <v xml:space="preserve">0030852 </v>
      </c>
      <c r="B2144" t="s">
        <v>5597</v>
      </c>
      <c r="C2144" t="s">
        <v>7480</v>
      </c>
      <c r="D2144" t="s">
        <v>7481</v>
      </c>
      <c r="E2144">
        <v>2</v>
      </c>
      <c r="F2144" t="s">
        <v>7482</v>
      </c>
      <c r="G2144" t="s">
        <v>5600</v>
      </c>
      <c r="H2144" t="s">
        <v>7483</v>
      </c>
      <c r="I2144" t="s">
        <v>7484</v>
      </c>
    </row>
    <row r="2145" spans="1:9">
      <c r="A2145" t="str">
        <f>"0116766 "</f>
        <v xml:space="preserve">0116766 </v>
      </c>
      <c r="B2145" t="s">
        <v>5597</v>
      </c>
      <c r="C2145" t="s">
        <v>7485</v>
      </c>
      <c r="D2145" t="s">
        <v>7486</v>
      </c>
      <c r="E2145">
        <v>1</v>
      </c>
      <c r="F2145" t="s">
        <v>7487</v>
      </c>
      <c r="G2145" t="s">
        <v>5600</v>
      </c>
      <c r="H2145" t="s">
        <v>7488</v>
      </c>
      <c r="I2145" t="s">
        <v>7489</v>
      </c>
    </row>
    <row r="2146" spans="1:9">
      <c r="A2146" t="str">
        <f>"0030866 "</f>
        <v xml:space="preserve">0030866 </v>
      </c>
      <c r="B2146" t="s">
        <v>5597</v>
      </c>
      <c r="C2146" t="s">
        <v>7490</v>
      </c>
      <c r="D2146" t="s">
        <v>7491</v>
      </c>
      <c r="E2146">
        <v>1</v>
      </c>
      <c r="F2146" t="s">
        <v>7492</v>
      </c>
      <c r="G2146" t="s">
        <v>5600</v>
      </c>
      <c r="H2146" t="s">
        <v>7493</v>
      </c>
      <c r="I2146" t="s">
        <v>7494</v>
      </c>
    </row>
    <row r="2147" spans="1:9">
      <c r="A2147" t="str">
        <f>"0030872 "</f>
        <v xml:space="preserve">0030872 </v>
      </c>
      <c r="B2147" t="s">
        <v>5597</v>
      </c>
      <c r="C2147" t="s">
        <v>7495</v>
      </c>
      <c r="D2147" t="s">
        <v>7496</v>
      </c>
      <c r="E2147">
        <v>1</v>
      </c>
      <c r="F2147" t="s">
        <v>4229</v>
      </c>
      <c r="G2147" t="s">
        <v>5600</v>
      </c>
      <c r="H2147" t="s">
        <v>7497</v>
      </c>
      <c r="I2147" t="s">
        <v>4119</v>
      </c>
    </row>
    <row r="2148" spans="1:9">
      <c r="A2148" t="str">
        <f>"0030876 "</f>
        <v xml:space="preserve">0030876 </v>
      </c>
      <c r="B2148" t="s">
        <v>5597</v>
      </c>
      <c r="C2148" t="s">
        <v>7498</v>
      </c>
      <c r="D2148" t="s">
        <v>7499</v>
      </c>
      <c r="E2148">
        <v>1</v>
      </c>
      <c r="F2148" t="s">
        <v>6498</v>
      </c>
      <c r="G2148" t="s">
        <v>5600</v>
      </c>
      <c r="H2148" t="s">
        <v>7500</v>
      </c>
      <c r="I2148" t="s">
        <v>7501</v>
      </c>
    </row>
    <row r="2149" spans="1:9">
      <c r="A2149" t="str">
        <f>"0030878 "</f>
        <v xml:space="preserve">0030878 </v>
      </c>
      <c r="B2149" t="s">
        <v>5597</v>
      </c>
      <c r="C2149" t="s">
        <v>7502</v>
      </c>
      <c r="D2149" t="s">
        <v>7503</v>
      </c>
      <c r="E2149">
        <v>1</v>
      </c>
      <c r="F2149" t="s">
        <v>7504</v>
      </c>
      <c r="G2149" t="s">
        <v>5600</v>
      </c>
      <c r="H2149" t="s">
        <v>7505</v>
      </c>
      <c r="I2149" t="s">
        <v>7506</v>
      </c>
    </row>
    <row r="2150" spans="1:9">
      <c r="A2150" t="str">
        <f>"0038186 "</f>
        <v xml:space="preserve">0038186 </v>
      </c>
      <c r="B2150" t="s">
        <v>5597</v>
      </c>
      <c r="C2150" t="s">
        <v>7507</v>
      </c>
      <c r="D2150" t="s">
        <v>7508</v>
      </c>
      <c r="E2150">
        <v>1</v>
      </c>
      <c r="F2150" t="s">
        <v>7509</v>
      </c>
      <c r="G2150" t="s">
        <v>5600</v>
      </c>
      <c r="H2150" t="s">
        <v>7510</v>
      </c>
      <c r="I2150" t="s">
        <v>4388</v>
      </c>
    </row>
    <row r="2151" spans="1:9">
      <c r="A2151" t="str">
        <f>"0116648 "</f>
        <v xml:space="preserve">0116648 </v>
      </c>
      <c r="B2151" t="s">
        <v>5597</v>
      </c>
      <c r="C2151" t="s">
        <v>7511</v>
      </c>
      <c r="D2151" t="s">
        <v>7512</v>
      </c>
      <c r="E2151" t="s">
        <v>20</v>
      </c>
      <c r="F2151" t="s">
        <v>6478</v>
      </c>
      <c r="G2151" t="s">
        <v>5600</v>
      </c>
      <c r="H2151" t="s">
        <v>7513</v>
      </c>
      <c r="I2151" t="s">
        <v>7514</v>
      </c>
    </row>
    <row r="2152" spans="1:9">
      <c r="A2152" t="str">
        <f>"0116649 "</f>
        <v xml:space="preserve">0116649 </v>
      </c>
      <c r="B2152" t="s">
        <v>5597</v>
      </c>
      <c r="C2152" t="s">
        <v>7515</v>
      </c>
      <c r="D2152" t="s">
        <v>7516</v>
      </c>
      <c r="E2152">
        <v>2</v>
      </c>
      <c r="F2152" t="s">
        <v>7517</v>
      </c>
      <c r="G2152" t="s">
        <v>5600</v>
      </c>
      <c r="H2152" t="s">
        <v>7518</v>
      </c>
      <c r="I2152" t="s">
        <v>7519</v>
      </c>
    </row>
    <row r="2153" spans="1:9">
      <c r="A2153" t="str">
        <f>"0030892 "</f>
        <v xml:space="preserve">0030892 </v>
      </c>
      <c r="B2153" t="s">
        <v>5597</v>
      </c>
      <c r="C2153" t="s">
        <v>7520</v>
      </c>
      <c r="D2153" t="s">
        <v>7521</v>
      </c>
      <c r="E2153">
        <v>1</v>
      </c>
      <c r="F2153" t="s">
        <v>7522</v>
      </c>
      <c r="G2153" t="s">
        <v>5600</v>
      </c>
      <c r="H2153" t="s">
        <v>7523</v>
      </c>
      <c r="I2153" t="s">
        <v>7524</v>
      </c>
    </row>
    <row r="2154" spans="1:9">
      <c r="A2154" t="str">
        <f>"0030893 "</f>
        <v xml:space="preserve">0030893 </v>
      </c>
      <c r="B2154" t="s">
        <v>5597</v>
      </c>
      <c r="C2154" t="s">
        <v>7525</v>
      </c>
      <c r="D2154" t="s">
        <v>7526</v>
      </c>
      <c r="E2154">
        <v>1</v>
      </c>
      <c r="F2154" t="s">
        <v>7527</v>
      </c>
      <c r="G2154" t="s">
        <v>5600</v>
      </c>
      <c r="H2154" t="s">
        <v>7528</v>
      </c>
      <c r="I2154" t="s">
        <v>7529</v>
      </c>
    </row>
    <row r="2155" spans="1:9">
      <c r="A2155" t="str">
        <f>"0030896 "</f>
        <v xml:space="preserve">0030896 </v>
      </c>
      <c r="B2155" t="s">
        <v>5597</v>
      </c>
      <c r="C2155" t="s">
        <v>7530</v>
      </c>
      <c r="D2155" t="s">
        <v>7531</v>
      </c>
      <c r="E2155" t="s">
        <v>20</v>
      </c>
      <c r="F2155" t="s">
        <v>7044</v>
      </c>
      <c r="G2155" t="s">
        <v>5600</v>
      </c>
      <c r="H2155" t="s">
        <v>7532</v>
      </c>
      <c r="I2155" t="s">
        <v>7533</v>
      </c>
    </row>
    <row r="2156" spans="1:9">
      <c r="A2156" t="str">
        <f>"0030897 "</f>
        <v xml:space="preserve">0030897 </v>
      </c>
      <c r="B2156" t="s">
        <v>5597</v>
      </c>
      <c r="C2156" t="s">
        <v>7534</v>
      </c>
      <c r="D2156" t="s">
        <v>7535</v>
      </c>
      <c r="E2156" t="s">
        <v>20</v>
      </c>
      <c r="F2156" t="s">
        <v>7536</v>
      </c>
      <c r="G2156" t="s">
        <v>5600</v>
      </c>
      <c r="H2156" t="s">
        <v>7537</v>
      </c>
      <c r="I2156" t="s">
        <v>7538</v>
      </c>
    </row>
    <row r="2157" spans="1:9">
      <c r="A2157" t="str">
        <f>"0038187 "</f>
        <v xml:space="preserve">0038187 </v>
      </c>
      <c r="B2157" t="s">
        <v>5597</v>
      </c>
      <c r="C2157" t="s">
        <v>7539</v>
      </c>
      <c r="D2157" t="s">
        <v>7540</v>
      </c>
      <c r="E2157">
        <v>4</v>
      </c>
      <c r="F2157" t="s">
        <v>7541</v>
      </c>
      <c r="G2157" t="s">
        <v>5600</v>
      </c>
      <c r="H2157" t="s">
        <v>7542</v>
      </c>
      <c r="I2157" t="s">
        <v>7543</v>
      </c>
    </row>
    <row r="2158" spans="1:9">
      <c r="A2158" t="str">
        <f>"0030899 "</f>
        <v xml:space="preserve">0030899 </v>
      </c>
      <c r="B2158" t="s">
        <v>5597</v>
      </c>
      <c r="C2158" t="s">
        <v>7544</v>
      </c>
      <c r="D2158" t="s">
        <v>7545</v>
      </c>
      <c r="E2158">
        <v>1</v>
      </c>
      <c r="F2158" t="s">
        <v>7546</v>
      </c>
      <c r="G2158" t="s">
        <v>5600</v>
      </c>
      <c r="H2158" t="s">
        <v>7547</v>
      </c>
      <c r="I2158" t="s">
        <v>7548</v>
      </c>
    </row>
    <row r="2159" spans="1:9">
      <c r="A2159" t="str">
        <f>"0030900 "</f>
        <v xml:space="preserve">0030900 </v>
      </c>
      <c r="B2159" t="s">
        <v>5597</v>
      </c>
      <c r="C2159" t="s">
        <v>7549</v>
      </c>
      <c r="D2159" t="s">
        <v>7550</v>
      </c>
      <c r="E2159" t="s">
        <v>20</v>
      </c>
      <c r="F2159" t="s">
        <v>7551</v>
      </c>
      <c r="G2159" t="s">
        <v>5600</v>
      </c>
      <c r="H2159" t="s">
        <v>7552</v>
      </c>
      <c r="I2159" t="s">
        <v>7553</v>
      </c>
    </row>
    <row r="2160" spans="1:9">
      <c r="A2160" t="str">
        <f>"0030901 "</f>
        <v xml:space="preserve">0030901 </v>
      </c>
      <c r="B2160" t="s">
        <v>5597</v>
      </c>
      <c r="C2160" t="s">
        <v>7554</v>
      </c>
      <c r="D2160" t="s">
        <v>7555</v>
      </c>
      <c r="E2160">
        <v>1</v>
      </c>
      <c r="F2160" t="s">
        <v>7556</v>
      </c>
      <c r="G2160" t="s">
        <v>5600</v>
      </c>
      <c r="H2160" t="s">
        <v>7557</v>
      </c>
      <c r="I2160" t="s">
        <v>7558</v>
      </c>
    </row>
    <row r="2161" spans="1:9">
      <c r="A2161" t="str">
        <f>"0030909 "</f>
        <v xml:space="preserve">0030909 </v>
      </c>
      <c r="B2161" t="s">
        <v>5597</v>
      </c>
      <c r="C2161" t="s">
        <v>7559</v>
      </c>
      <c r="D2161" t="s">
        <v>7560</v>
      </c>
      <c r="E2161">
        <v>4</v>
      </c>
      <c r="F2161" t="s">
        <v>7561</v>
      </c>
      <c r="G2161" t="s">
        <v>5600</v>
      </c>
      <c r="H2161" t="s">
        <v>7562</v>
      </c>
      <c r="I2161" t="s">
        <v>7563</v>
      </c>
    </row>
    <row r="2162" spans="1:9">
      <c r="A2162" t="str">
        <f>"0030910 "</f>
        <v xml:space="preserve">0030910 </v>
      </c>
      <c r="B2162" t="s">
        <v>5597</v>
      </c>
      <c r="C2162" t="s">
        <v>7564</v>
      </c>
      <c r="D2162" t="s">
        <v>7565</v>
      </c>
      <c r="E2162">
        <v>1</v>
      </c>
      <c r="F2162" t="s">
        <v>7566</v>
      </c>
      <c r="G2162" t="s">
        <v>5600</v>
      </c>
      <c r="H2162" t="s">
        <v>7567</v>
      </c>
      <c r="I2162" t="s">
        <v>7568</v>
      </c>
    </row>
    <row r="2163" spans="1:9">
      <c r="A2163" t="str">
        <f>"0030912 "</f>
        <v xml:space="preserve">0030912 </v>
      </c>
      <c r="B2163" t="s">
        <v>5597</v>
      </c>
      <c r="C2163" t="s">
        <v>7569</v>
      </c>
      <c r="D2163" t="s">
        <v>7570</v>
      </c>
      <c r="E2163">
        <v>2</v>
      </c>
      <c r="F2163" t="s">
        <v>7571</v>
      </c>
      <c r="G2163" t="s">
        <v>5600</v>
      </c>
      <c r="H2163" t="s">
        <v>7572</v>
      </c>
      <c r="I2163" t="s">
        <v>7573</v>
      </c>
    </row>
    <row r="2164" spans="1:9">
      <c r="A2164" t="str">
        <f>"0030913 "</f>
        <v xml:space="preserve">0030913 </v>
      </c>
      <c r="B2164" t="s">
        <v>5597</v>
      </c>
      <c r="C2164" t="s">
        <v>7574</v>
      </c>
      <c r="D2164" t="s">
        <v>7575</v>
      </c>
      <c r="E2164" t="s">
        <v>20</v>
      </c>
      <c r="F2164" t="s">
        <v>7576</v>
      </c>
      <c r="G2164" t="s">
        <v>5600</v>
      </c>
      <c r="H2164" t="s">
        <v>7577</v>
      </c>
      <c r="I2164" t="s">
        <v>7578</v>
      </c>
    </row>
    <row r="2165" spans="1:9">
      <c r="A2165" t="str">
        <f>"0030915 "</f>
        <v xml:space="preserve">0030915 </v>
      </c>
      <c r="B2165" t="s">
        <v>5597</v>
      </c>
      <c r="C2165" t="s">
        <v>7579</v>
      </c>
      <c r="D2165" t="s">
        <v>7580</v>
      </c>
      <c r="E2165">
        <v>4</v>
      </c>
      <c r="F2165" t="s">
        <v>7581</v>
      </c>
      <c r="G2165" t="s">
        <v>5600</v>
      </c>
      <c r="H2165" t="s">
        <v>7582</v>
      </c>
      <c r="I2165" t="s">
        <v>7583</v>
      </c>
    </row>
    <row r="2166" spans="1:9">
      <c r="A2166" t="str">
        <f>"0038898 "</f>
        <v xml:space="preserve">0038898 </v>
      </c>
      <c r="B2166" t="s">
        <v>5597</v>
      </c>
      <c r="C2166" t="s">
        <v>7584</v>
      </c>
      <c r="D2166" t="s">
        <v>7585</v>
      </c>
      <c r="E2166">
        <v>1</v>
      </c>
      <c r="F2166" t="s">
        <v>7586</v>
      </c>
      <c r="G2166" t="s">
        <v>5600</v>
      </c>
      <c r="H2166" t="s">
        <v>7587</v>
      </c>
      <c r="I2166" t="s">
        <v>7588</v>
      </c>
    </row>
    <row r="2167" spans="1:9">
      <c r="A2167" t="str">
        <f>"0030917 "</f>
        <v xml:space="preserve">0030917 </v>
      </c>
      <c r="B2167" t="s">
        <v>5597</v>
      </c>
      <c r="C2167" t="s">
        <v>7589</v>
      </c>
      <c r="D2167" t="s">
        <v>7590</v>
      </c>
      <c r="E2167">
        <v>1</v>
      </c>
      <c r="F2167" t="s">
        <v>7591</v>
      </c>
      <c r="G2167" t="s">
        <v>5600</v>
      </c>
      <c r="H2167" t="s">
        <v>7592</v>
      </c>
      <c r="I2167" t="s">
        <v>7593</v>
      </c>
    </row>
    <row r="2168" spans="1:9">
      <c r="A2168" t="str">
        <f>"0030918 "</f>
        <v xml:space="preserve">0030918 </v>
      </c>
      <c r="B2168" t="s">
        <v>5597</v>
      </c>
      <c r="C2168" t="s">
        <v>7594</v>
      </c>
      <c r="D2168" t="s">
        <v>7595</v>
      </c>
      <c r="E2168">
        <v>3</v>
      </c>
      <c r="F2168" t="s">
        <v>7596</v>
      </c>
      <c r="G2168" t="s">
        <v>5600</v>
      </c>
      <c r="H2168" t="s">
        <v>7597</v>
      </c>
      <c r="I2168" t="s">
        <v>7598</v>
      </c>
    </row>
    <row r="2169" spans="1:9">
      <c r="A2169" t="str">
        <f>"0030919 "</f>
        <v xml:space="preserve">0030919 </v>
      </c>
      <c r="B2169" t="s">
        <v>5597</v>
      </c>
      <c r="C2169" t="s">
        <v>7599</v>
      </c>
      <c r="D2169" t="s">
        <v>7600</v>
      </c>
      <c r="E2169">
        <v>1</v>
      </c>
      <c r="F2169" t="s">
        <v>7601</v>
      </c>
      <c r="G2169" t="s">
        <v>5600</v>
      </c>
      <c r="H2169" t="s">
        <v>7602</v>
      </c>
      <c r="I2169" t="s">
        <v>7603</v>
      </c>
    </row>
    <row r="2170" spans="1:9">
      <c r="A2170" t="str">
        <f>"0030920 "</f>
        <v xml:space="preserve">0030920 </v>
      </c>
      <c r="B2170" t="s">
        <v>5597</v>
      </c>
      <c r="C2170" t="s">
        <v>7604</v>
      </c>
      <c r="D2170" t="s">
        <v>7605</v>
      </c>
      <c r="E2170">
        <v>2</v>
      </c>
      <c r="F2170" t="s">
        <v>7606</v>
      </c>
      <c r="G2170" t="s">
        <v>5600</v>
      </c>
      <c r="H2170" t="s">
        <v>7607</v>
      </c>
      <c r="I2170" t="s">
        <v>7608</v>
      </c>
    </row>
    <row r="2171" spans="1:9">
      <c r="A2171" t="str">
        <f>"0030928 "</f>
        <v xml:space="preserve">0030928 </v>
      </c>
      <c r="B2171" t="s">
        <v>5597</v>
      </c>
      <c r="C2171" t="s">
        <v>7609</v>
      </c>
      <c r="D2171" t="s">
        <v>7610</v>
      </c>
      <c r="E2171">
        <v>1</v>
      </c>
      <c r="F2171" t="s">
        <v>7611</v>
      </c>
      <c r="G2171" t="s">
        <v>5600</v>
      </c>
      <c r="H2171" t="s">
        <v>7612</v>
      </c>
      <c r="I2171" t="s">
        <v>7613</v>
      </c>
    </row>
    <row r="2172" spans="1:9">
      <c r="A2172" t="str">
        <f>"0030938 "</f>
        <v xml:space="preserve">0030938 </v>
      </c>
      <c r="B2172" t="s">
        <v>5597</v>
      </c>
      <c r="C2172" t="s">
        <v>7614</v>
      </c>
      <c r="D2172" t="s">
        <v>7615</v>
      </c>
      <c r="E2172">
        <v>1</v>
      </c>
      <c r="F2172" t="s">
        <v>5620</v>
      </c>
      <c r="G2172" t="s">
        <v>5600</v>
      </c>
      <c r="H2172" t="s">
        <v>7616</v>
      </c>
      <c r="I2172" t="s">
        <v>7617</v>
      </c>
    </row>
    <row r="2173" spans="1:9">
      <c r="A2173" t="str">
        <f>"0030939 "</f>
        <v xml:space="preserve">0030939 </v>
      </c>
      <c r="B2173" t="s">
        <v>5597</v>
      </c>
      <c r="C2173" t="s">
        <v>7618</v>
      </c>
      <c r="D2173" t="s">
        <v>7619</v>
      </c>
      <c r="E2173">
        <v>1</v>
      </c>
      <c r="F2173" t="s">
        <v>7620</v>
      </c>
      <c r="G2173" t="s">
        <v>5600</v>
      </c>
      <c r="H2173" t="s">
        <v>7621</v>
      </c>
      <c r="I2173" t="s">
        <v>7622</v>
      </c>
    </row>
    <row r="2174" spans="1:9">
      <c r="A2174" t="str">
        <f>"0030942 "</f>
        <v xml:space="preserve">0030942 </v>
      </c>
      <c r="B2174" t="s">
        <v>5597</v>
      </c>
      <c r="C2174" t="s">
        <v>7623</v>
      </c>
      <c r="D2174" t="s">
        <v>7624</v>
      </c>
      <c r="E2174">
        <v>5</v>
      </c>
      <c r="F2174" t="s">
        <v>7625</v>
      </c>
      <c r="G2174" t="s">
        <v>5600</v>
      </c>
      <c r="H2174" t="s">
        <v>7626</v>
      </c>
      <c r="I2174" t="s">
        <v>7627</v>
      </c>
    </row>
    <row r="2175" spans="1:9">
      <c r="A2175" t="str">
        <f>"0030945 "</f>
        <v xml:space="preserve">0030945 </v>
      </c>
      <c r="B2175" t="s">
        <v>5597</v>
      </c>
      <c r="C2175" t="s">
        <v>7628</v>
      </c>
      <c r="D2175" t="s">
        <v>7629</v>
      </c>
      <c r="E2175">
        <v>1</v>
      </c>
      <c r="F2175" t="s">
        <v>7630</v>
      </c>
      <c r="G2175" t="s">
        <v>5600</v>
      </c>
      <c r="H2175" t="s">
        <v>7631</v>
      </c>
      <c r="I2175" t="s">
        <v>7632</v>
      </c>
    </row>
    <row r="2176" spans="1:9">
      <c r="A2176" t="str">
        <f>"0030952 "</f>
        <v xml:space="preserve">0030952 </v>
      </c>
      <c r="B2176" t="s">
        <v>5597</v>
      </c>
      <c r="C2176" t="s">
        <v>7633</v>
      </c>
      <c r="D2176" t="s">
        <v>7634</v>
      </c>
      <c r="E2176">
        <v>2</v>
      </c>
      <c r="F2176" t="s">
        <v>7596</v>
      </c>
      <c r="G2176" t="s">
        <v>5600</v>
      </c>
      <c r="H2176" t="s">
        <v>7635</v>
      </c>
      <c r="I2176" t="s">
        <v>7636</v>
      </c>
    </row>
    <row r="2177" spans="1:9">
      <c r="A2177" t="str">
        <f>"0030972 "</f>
        <v xml:space="preserve">0030972 </v>
      </c>
      <c r="B2177" t="s">
        <v>5597</v>
      </c>
      <c r="C2177" t="s">
        <v>7637</v>
      </c>
      <c r="D2177" t="s">
        <v>7638</v>
      </c>
      <c r="E2177">
        <v>1</v>
      </c>
      <c r="F2177" t="s">
        <v>7639</v>
      </c>
      <c r="G2177" t="s">
        <v>5600</v>
      </c>
      <c r="H2177" t="s">
        <v>7640</v>
      </c>
      <c r="I2177" t="s">
        <v>7641</v>
      </c>
    </row>
    <row r="2178" spans="1:9">
      <c r="A2178" t="str">
        <f>"0030976 "</f>
        <v xml:space="preserve">0030976 </v>
      </c>
      <c r="B2178" t="s">
        <v>5597</v>
      </c>
      <c r="C2178" t="s">
        <v>7642</v>
      </c>
      <c r="D2178" t="s">
        <v>7643</v>
      </c>
      <c r="E2178">
        <v>1</v>
      </c>
      <c r="F2178" t="s">
        <v>7644</v>
      </c>
      <c r="G2178" t="s">
        <v>5600</v>
      </c>
      <c r="H2178" t="s">
        <v>7645</v>
      </c>
      <c r="I2178" t="s">
        <v>7646</v>
      </c>
    </row>
    <row r="2179" spans="1:9">
      <c r="A2179" t="str">
        <f>"0030982 "</f>
        <v xml:space="preserve">0030982 </v>
      </c>
      <c r="B2179" t="s">
        <v>5597</v>
      </c>
      <c r="C2179" t="s">
        <v>7647</v>
      </c>
      <c r="D2179" t="s">
        <v>7648</v>
      </c>
      <c r="E2179">
        <v>1</v>
      </c>
      <c r="F2179" t="s">
        <v>7649</v>
      </c>
      <c r="G2179" t="s">
        <v>5600</v>
      </c>
      <c r="H2179" t="s">
        <v>7650</v>
      </c>
      <c r="I2179" t="s">
        <v>7651</v>
      </c>
    </row>
    <row r="2180" spans="1:9">
      <c r="A2180" t="str">
        <f>"0030984 "</f>
        <v xml:space="preserve">0030984 </v>
      </c>
      <c r="B2180" t="s">
        <v>5597</v>
      </c>
      <c r="C2180" t="s">
        <v>7652</v>
      </c>
      <c r="D2180" t="s">
        <v>7653</v>
      </c>
      <c r="E2180">
        <v>1</v>
      </c>
      <c r="F2180" t="s">
        <v>7654</v>
      </c>
      <c r="G2180" t="s">
        <v>5600</v>
      </c>
      <c r="H2180" t="s">
        <v>7655</v>
      </c>
      <c r="I2180" t="s">
        <v>7656</v>
      </c>
    </row>
    <row r="2181" spans="1:9">
      <c r="A2181" t="str">
        <f>"0030991 "</f>
        <v xml:space="preserve">0030991 </v>
      </c>
      <c r="B2181" t="s">
        <v>5597</v>
      </c>
      <c r="C2181" t="s">
        <v>7657</v>
      </c>
      <c r="D2181" t="s">
        <v>7658</v>
      </c>
      <c r="E2181">
        <v>1</v>
      </c>
      <c r="F2181" t="s">
        <v>7659</v>
      </c>
      <c r="G2181" t="s">
        <v>5600</v>
      </c>
      <c r="H2181" t="s">
        <v>7660</v>
      </c>
      <c r="I2181" t="s">
        <v>7661</v>
      </c>
    </row>
    <row r="2182" spans="1:9">
      <c r="A2182" t="str">
        <f>"0030994 "</f>
        <v xml:space="preserve">0030994 </v>
      </c>
      <c r="B2182" t="s">
        <v>5597</v>
      </c>
      <c r="C2182" t="s">
        <v>7662</v>
      </c>
      <c r="D2182" t="s">
        <v>7663</v>
      </c>
      <c r="E2182">
        <v>3</v>
      </c>
      <c r="F2182" t="s">
        <v>7664</v>
      </c>
      <c r="G2182" t="s">
        <v>5600</v>
      </c>
      <c r="H2182" t="s">
        <v>7665</v>
      </c>
      <c r="I2182" t="s">
        <v>7666</v>
      </c>
    </row>
    <row r="2183" spans="1:9">
      <c r="A2183" t="str">
        <f>"0030997 "</f>
        <v xml:space="preserve">0030997 </v>
      </c>
      <c r="B2183" t="s">
        <v>5597</v>
      </c>
      <c r="C2183" t="s">
        <v>7667</v>
      </c>
      <c r="D2183" t="s">
        <v>7668</v>
      </c>
      <c r="E2183" t="s">
        <v>20</v>
      </c>
      <c r="F2183" t="s">
        <v>7669</v>
      </c>
      <c r="G2183" t="s">
        <v>5600</v>
      </c>
      <c r="H2183" t="s">
        <v>7670</v>
      </c>
      <c r="I2183" t="s">
        <v>7671</v>
      </c>
    </row>
    <row r="2184" spans="1:9">
      <c r="A2184" t="str">
        <f>"0030999 "</f>
        <v xml:space="preserve">0030999 </v>
      </c>
      <c r="B2184" t="s">
        <v>5597</v>
      </c>
      <c r="C2184" t="s">
        <v>7672</v>
      </c>
      <c r="D2184" t="s">
        <v>7673</v>
      </c>
      <c r="E2184">
        <v>5</v>
      </c>
      <c r="F2184" t="s">
        <v>7674</v>
      </c>
      <c r="G2184" t="s">
        <v>5600</v>
      </c>
      <c r="H2184" t="s">
        <v>7675</v>
      </c>
      <c r="I2184" t="s">
        <v>7676</v>
      </c>
    </row>
    <row r="2185" spans="1:9">
      <c r="A2185" t="str">
        <f>"0031000 "</f>
        <v xml:space="preserve">0031000 </v>
      </c>
      <c r="B2185" t="s">
        <v>5597</v>
      </c>
      <c r="C2185" t="s">
        <v>7677</v>
      </c>
      <c r="D2185" t="s">
        <v>7678</v>
      </c>
      <c r="E2185">
        <v>4</v>
      </c>
      <c r="F2185" t="s">
        <v>7679</v>
      </c>
      <c r="G2185" t="s">
        <v>5600</v>
      </c>
      <c r="H2185" t="s">
        <v>7680</v>
      </c>
      <c r="I2185" t="s">
        <v>7681</v>
      </c>
    </row>
    <row r="2186" spans="1:9">
      <c r="A2186" t="str">
        <f>"0031011 "</f>
        <v xml:space="preserve">0031011 </v>
      </c>
      <c r="B2186" t="s">
        <v>5597</v>
      </c>
      <c r="C2186" t="s">
        <v>7682</v>
      </c>
      <c r="D2186" t="s">
        <v>7683</v>
      </c>
      <c r="E2186" t="s">
        <v>20</v>
      </c>
      <c r="F2186" t="s">
        <v>7684</v>
      </c>
      <c r="G2186" t="s">
        <v>5600</v>
      </c>
      <c r="H2186" t="s">
        <v>7685</v>
      </c>
      <c r="I2186" t="s">
        <v>7686</v>
      </c>
    </row>
    <row r="2187" spans="1:9">
      <c r="A2187" t="str">
        <f>"0031016 "</f>
        <v xml:space="preserve">0031016 </v>
      </c>
      <c r="B2187" t="s">
        <v>5597</v>
      </c>
      <c r="C2187" t="s">
        <v>7687</v>
      </c>
      <c r="D2187" t="s">
        <v>7688</v>
      </c>
      <c r="E2187">
        <v>1</v>
      </c>
      <c r="F2187" t="s">
        <v>7689</v>
      </c>
      <c r="G2187" t="s">
        <v>5600</v>
      </c>
      <c r="H2187" t="s">
        <v>7690</v>
      </c>
      <c r="I2187" t="s">
        <v>7691</v>
      </c>
    </row>
    <row r="2188" spans="1:9">
      <c r="A2188" t="str">
        <f>"0031018 "</f>
        <v xml:space="preserve">0031018 </v>
      </c>
      <c r="B2188" t="s">
        <v>5597</v>
      </c>
      <c r="C2188" t="s">
        <v>7692</v>
      </c>
      <c r="D2188" t="s">
        <v>7693</v>
      </c>
      <c r="E2188">
        <v>2</v>
      </c>
      <c r="F2188" t="s">
        <v>7694</v>
      </c>
      <c r="G2188" t="s">
        <v>5600</v>
      </c>
      <c r="H2188" t="s">
        <v>7695</v>
      </c>
      <c r="I2188" t="s">
        <v>7696</v>
      </c>
    </row>
    <row r="2189" spans="1:9">
      <c r="A2189" t="str">
        <f>"0031030 "</f>
        <v xml:space="preserve">0031030 </v>
      </c>
      <c r="B2189" t="s">
        <v>5597</v>
      </c>
      <c r="C2189" t="s">
        <v>7697</v>
      </c>
      <c r="D2189" t="s">
        <v>7698</v>
      </c>
      <c r="E2189">
        <v>4</v>
      </c>
      <c r="F2189" t="s">
        <v>7699</v>
      </c>
      <c r="G2189" t="s">
        <v>5600</v>
      </c>
      <c r="H2189" t="s">
        <v>7700</v>
      </c>
      <c r="I2189" t="s">
        <v>7701</v>
      </c>
    </row>
    <row r="2190" spans="1:9">
      <c r="A2190" t="str">
        <f>"0031032 "</f>
        <v xml:space="preserve">0031032 </v>
      </c>
      <c r="B2190" t="s">
        <v>5597</v>
      </c>
      <c r="C2190" t="s">
        <v>7702</v>
      </c>
      <c r="D2190" t="s">
        <v>7703</v>
      </c>
      <c r="E2190">
        <v>1</v>
      </c>
      <c r="F2190" t="s">
        <v>7704</v>
      </c>
      <c r="G2190" t="s">
        <v>5600</v>
      </c>
      <c r="H2190" t="s">
        <v>7705</v>
      </c>
      <c r="I2190" t="s">
        <v>7706</v>
      </c>
    </row>
    <row r="2191" spans="1:9">
      <c r="A2191" t="str">
        <f>"0031049 "</f>
        <v xml:space="preserve">0031049 </v>
      </c>
      <c r="B2191" t="s">
        <v>5597</v>
      </c>
      <c r="C2191" t="s">
        <v>7707</v>
      </c>
      <c r="D2191" t="s">
        <v>7708</v>
      </c>
      <c r="E2191">
        <v>2</v>
      </c>
      <c r="F2191" t="s">
        <v>7709</v>
      </c>
      <c r="G2191" t="s">
        <v>5600</v>
      </c>
      <c r="H2191" t="s">
        <v>7710</v>
      </c>
      <c r="I2191" t="s">
        <v>7711</v>
      </c>
    </row>
    <row r="2192" spans="1:9">
      <c r="A2192" t="str">
        <f>"0031055 "</f>
        <v xml:space="preserve">0031055 </v>
      </c>
      <c r="B2192" t="s">
        <v>5597</v>
      </c>
      <c r="C2192" t="s">
        <v>7712</v>
      </c>
      <c r="D2192" t="s">
        <v>7713</v>
      </c>
      <c r="E2192">
        <v>2</v>
      </c>
      <c r="F2192" t="s">
        <v>7714</v>
      </c>
      <c r="G2192" t="s">
        <v>5600</v>
      </c>
      <c r="H2192" t="s">
        <v>7715</v>
      </c>
      <c r="I2192" t="s">
        <v>7716</v>
      </c>
    </row>
    <row r="2193" spans="1:9">
      <c r="A2193" t="str">
        <f>"0031063 "</f>
        <v xml:space="preserve">0031063 </v>
      </c>
      <c r="B2193" t="s">
        <v>5597</v>
      </c>
      <c r="C2193" t="s">
        <v>7717</v>
      </c>
      <c r="D2193" t="s">
        <v>7718</v>
      </c>
      <c r="E2193">
        <v>1</v>
      </c>
      <c r="F2193" t="s">
        <v>7719</v>
      </c>
      <c r="G2193" t="s">
        <v>5600</v>
      </c>
      <c r="H2193" t="s">
        <v>7720</v>
      </c>
      <c r="I2193" t="s">
        <v>148</v>
      </c>
    </row>
    <row r="2194" spans="1:9">
      <c r="A2194" t="str">
        <f>"0031069 "</f>
        <v xml:space="preserve">0031069 </v>
      </c>
      <c r="B2194" t="s">
        <v>5597</v>
      </c>
      <c r="C2194" t="s">
        <v>7721</v>
      </c>
      <c r="D2194" t="s">
        <v>7722</v>
      </c>
      <c r="E2194" t="s">
        <v>20</v>
      </c>
      <c r="F2194" t="s">
        <v>7723</v>
      </c>
      <c r="G2194" t="s">
        <v>5600</v>
      </c>
      <c r="H2194" t="s">
        <v>7724</v>
      </c>
      <c r="I2194" t="s">
        <v>7725</v>
      </c>
    </row>
    <row r="2195" spans="1:9">
      <c r="A2195" t="str">
        <f>"0031075 "</f>
        <v xml:space="preserve">0031075 </v>
      </c>
      <c r="B2195" t="s">
        <v>5597</v>
      </c>
      <c r="C2195" t="s">
        <v>7726</v>
      </c>
      <c r="D2195" t="s">
        <v>7727</v>
      </c>
      <c r="E2195">
        <v>1</v>
      </c>
      <c r="F2195" t="s">
        <v>7728</v>
      </c>
      <c r="G2195" t="s">
        <v>5600</v>
      </c>
      <c r="H2195" t="s">
        <v>7729</v>
      </c>
      <c r="I2195" t="s">
        <v>7730</v>
      </c>
    </row>
    <row r="2196" spans="1:9">
      <c r="A2196" t="str">
        <f>"0031076 "</f>
        <v xml:space="preserve">0031076 </v>
      </c>
      <c r="B2196" t="s">
        <v>5597</v>
      </c>
      <c r="C2196" t="s">
        <v>7731</v>
      </c>
      <c r="D2196" t="s">
        <v>7732</v>
      </c>
      <c r="E2196">
        <v>1</v>
      </c>
      <c r="F2196" t="s">
        <v>7733</v>
      </c>
      <c r="G2196" t="s">
        <v>5600</v>
      </c>
      <c r="H2196" t="s">
        <v>7734</v>
      </c>
      <c r="I2196" t="s">
        <v>7735</v>
      </c>
    </row>
    <row r="2197" spans="1:9">
      <c r="A2197" t="str">
        <f>"0116760 "</f>
        <v xml:space="preserve">0116760 </v>
      </c>
      <c r="B2197" t="s">
        <v>5597</v>
      </c>
      <c r="C2197" t="s">
        <v>7736</v>
      </c>
      <c r="D2197" t="s">
        <v>7737</v>
      </c>
      <c r="E2197">
        <v>1</v>
      </c>
      <c r="F2197" t="s">
        <v>7738</v>
      </c>
      <c r="G2197" t="s">
        <v>5600</v>
      </c>
      <c r="H2197" t="s">
        <v>7739</v>
      </c>
      <c r="I2197" t="s">
        <v>7740</v>
      </c>
    </row>
    <row r="2198" spans="1:9">
      <c r="A2198" t="str">
        <f>"0031095 "</f>
        <v xml:space="preserve">0031095 </v>
      </c>
      <c r="B2198" t="s">
        <v>5597</v>
      </c>
      <c r="C2198" t="s">
        <v>7741</v>
      </c>
      <c r="D2198" t="s">
        <v>7742</v>
      </c>
      <c r="E2198" t="s">
        <v>20</v>
      </c>
      <c r="F2198" t="s">
        <v>7743</v>
      </c>
      <c r="G2198" t="s">
        <v>5600</v>
      </c>
      <c r="H2198" t="s">
        <v>7744</v>
      </c>
      <c r="I2198" t="s">
        <v>7538</v>
      </c>
    </row>
    <row r="2199" spans="1:9">
      <c r="A2199" t="str">
        <f>"0031096 "</f>
        <v xml:space="preserve">0031096 </v>
      </c>
      <c r="B2199" t="s">
        <v>5597</v>
      </c>
      <c r="C2199" t="s">
        <v>7745</v>
      </c>
      <c r="D2199" t="s">
        <v>7746</v>
      </c>
      <c r="E2199" t="s">
        <v>20</v>
      </c>
      <c r="F2199" t="s">
        <v>7747</v>
      </c>
      <c r="G2199" t="s">
        <v>5600</v>
      </c>
      <c r="H2199" t="s">
        <v>7748</v>
      </c>
      <c r="I2199" t="s">
        <v>7749</v>
      </c>
    </row>
    <row r="2200" spans="1:9">
      <c r="A2200" t="str">
        <f>"0031097 "</f>
        <v xml:space="preserve">0031097 </v>
      </c>
      <c r="B2200" t="s">
        <v>5597</v>
      </c>
      <c r="C2200" t="s">
        <v>7750</v>
      </c>
      <c r="D2200" t="s">
        <v>7751</v>
      </c>
      <c r="E2200">
        <v>1</v>
      </c>
      <c r="F2200" t="s">
        <v>7752</v>
      </c>
      <c r="G2200" t="s">
        <v>5600</v>
      </c>
      <c r="H2200" t="s">
        <v>7753</v>
      </c>
      <c r="I2200" t="s">
        <v>7754</v>
      </c>
    </row>
    <row r="2201" spans="1:9">
      <c r="A2201" t="str">
        <f>"0031098 "</f>
        <v xml:space="preserve">0031098 </v>
      </c>
      <c r="B2201" t="s">
        <v>5597</v>
      </c>
      <c r="C2201" t="s">
        <v>7755</v>
      </c>
      <c r="D2201" t="s">
        <v>7756</v>
      </c>
      <c r="E2201">
        <v>1</v>
      </c>
      <c r="F2201" t="s">
        <v>7757</v>
      </c>
      <c r="G2201" t="s">
        <v>5600</v>
      </c>
      <c r="H2201" t="s">
        <v>7758</v>
      </c>
      <c r="I2201" t="s">
        <v>7759</v>
      </c>
    </row>
    <row r="2202" spans="1:9">
      <c r="A2202" t="str">
        <f>"0031099 "</f>
        <v xml:space="preserve">0031099 </v>
      </c>
      <c r="B2202" t="s">
        <v>5597</v>
      </c>
      <c r="C2202" t="s">
        <v>7760</v>
      </c>
      <c r="D2202" t="s">
        <v>7761</v>
      </c>
      <c r="E2202">
        <v>1</v>
      </c>
      <c r="F2202" t="s">
        <v>7762</v>
      </c>
      <c r="G2202" t="s">
        <v>5600</v>
      </c>
      <c r="H2202" t="s">
        <v>7763</v>
      </c>
      <c r="I2202" t="s">
        <v>7764</v>
      </c>
    </row>
    <row r="2203" spans="1:9">
      <c r="A2203" t="str">
        <f>"0031101 "</f>
        <v xml:space="preserve">0031101 </v>
      </c>
      <c r="B2203" t="s">
        <v>5597</v>
      </c>
      <c r="C2203" t="s">
        <v>7765</v>
      </c>
      <c r="D2203" t="s">
        <v>7766</v>
      </c>
      <c r="E2203" t="s">
        <v>20</v>
      </c>
      <c r="F2203" t="s">
        <v>7767</v>
      </c>
      <c r="G2203" t="s">
        <v>5600</v>
      </c>
      <c r="H2203" t="s">
        <v>7768</v>
      </c>
      <c r="I2203" t="s">
        <v>7769</v>
      </c>
    </row>
    <row r="2204" spans="1:9">
      <c r="A2204" t="str">
        <f>"0031103 "</f>
        <v xml:space="preserve">0031103 </v>
      </c>
      <c r="B2204" t="s">
        <v>5597</v>
      </c>
      <c r="C2204" t="s">
        <v>7770</v>
      </c>
      <c r="D2204" t="s">
        <v>7771</v>
      </c>
      <c r="E2204">
        <v>1</v>
      </c>
      <c r="F2204" t="s">
        <v>7772</v>
      </c>
      <c r="G2204" t="s">
        <v>5600</v>
      </c>
      <c r="H2204" t="s">
        <v>7773</v>
      </c>
      <c r="I2204" t="s">
        <v>7774</v>
      </c>
    </row>
    <row r="2205" spans="1:9">
      <c r="A2205" t="str">
        <f>"0031106 "</f>
        <v xml:space="preserve">0031106 </v>
      </c>
      <c r="B2205" t="s">
        <v>5597</v>
      </c>
      <c r="C2205" t="s">
        <v>7775</v>
      </c>
      <c r="D2205" t="s">
        <v>7776</v>
      </c>
      <c r="E2205">
        <v>2</v>
      </c>
      <c r="F2205" t="s">
        <v>7777</v>
      </c>
      <c r="G2205" t="s">
        <v>5600</v>
      </c>
      <c r="H2205" t="s">
        <v>7778</v>
      </c>
      <c r="I2205" t="s">
        <v>7779</v>
      </c>
    </row>
    <row r="2206" spans="1:9">
      <c r="A2206" t="str">
        <f>"0031107 "</f>
        <v xml:space="preserve">0031107 </v>
      </c>
      <c r="B2206" t="s">
        <v>5597</v>
      </c>
      <c r="C2206" t="s">
        <v>7780</v>
      </c>
      <c r="D2206" t="s">
        <v>7781</v>
      </c>
      <c r="E2206">
        <v>1</v>
      </c>
      <c r="F2206" t="s">
        <v>7782</v>
      </c>
      <c r="G2206" t="s">
        <v>5600</v>
      </c>
      <c r="H2206" t="s">
        <v>7783</v>
      </c>
      <c r="I2206" t="s">
        <v>7784</v>
      </c>
    </row>
    <row r="2207" spans="1:9">
      <c r="A2207" t="str">
        <f>"0031109 "</f>
        <v xml:space="preserve">0031109 </v>
      </c>
      <c r="B2207" t="s">
        <v>5597</v>
      </c>
      <c r="C2207" t="s">
        <v>7785</v>
      </c>
      <c r="D2207" t="s">
        <v>7786</v>
      </c>
      <c r="E2207" t="s">
        <v>20</v>
      </c>
      <c r="F2207" t="s">
        <v>7787</v>
      </c>
      <c r="G2207" t="s">
        <v>5600</v>
      </c>
      <c r="H2207" t="s">
        <v>7788</v>
      </c>
      <c r="I2207" t="s">
        <v>7789</v>
      </c>
    </row>
    <row r="2208" spans="1:9">
      <c r="A2208" t="str">
        <f>"0048793 "</f>
        <v xml:space="preserve">0048793 </v>
      </c>
      <c r="B2208" t="s">
        <v>5597</v>
      </c>
      <c r="C2208" t="s">
        <v>7790</v>
      </c>
      <c r="D2208" t="s">
        <v>7791</v>
      </c>
      <c r="E2208" t="s">
        <v>20</v>
      </c>
      <c r="F2208" t="s">
        <v>7787</v>
      </c>
      <c r="G2208" t="s">
        <v>5600</v>
      </c>
      <c r="H2208" t="s">
        <v>7792</v>
      </c>
      <c r="I2208" t="s">
        <v>7793</v>
      </c>
    </row>
    <row r="2209" spans="1:9">
      <c r="A2209" t="str">
        <f>"0031114 "</f>
        <v xml:space="preserve">0031114 </v>
      </c>
      <c r="B2209" t="s">
        <v>5597</v>
      </c>
      <c r="C2209" t="s">
        <v>7794</v>
      </c>
      <c r="D2209" t="s">
        <v>7795</v>
      </c>
      <c r="E2209" t="s">
        <v>20</v>
      </c>
      <c r="F2209" t="s">
        <v>7796</v>
      </c>
      <c r="G2209" t="s">
        <v>5600</v>
      </c>
      <c r="H2209" t="s">
        <v>7797</v>
      </c>
      <c r="I2209" t="s">
        <v>7798</v>
      </c>
    </row>
    <row r="2210" spans="1:9">
      <c r="A2210" t="str">
        <f>"0031115 "</f>
        <v xml:space="preserve">0031115 </v>
      </c>
      <c r="B2210" t="s">
        <v>5597</v>
      </c>
      <c r="C2210" t="s">
        <v>7799</v>
      </c>
      <c r="D2210" t="s">
        <v>7800</v>
      </c>
      <c r="E2210" t="s">
        <v>20</v>
      </c>
      <c r="F2210" t="s">
        <v>7801</v>
      </c>
      <c r="G2210" t="s">
        <v>5600</v>
      </c>
      <c r="H2210" t="s">
        <v>7802</v>
      </c>
      <c r="I2210" t="s">
        <v>7803</v>
      </c>
    </row>
    <row r="2211" spans="1:9">
      <c r="A2211" t="str">
        <f>"0031117 "</f>
        <v xml:space="preserve">0031117 </v>
      </c>
      <c r="B2211" t="s">
        <v>5597</v>
      </c>
      <c r="C2211" t="s">
        <v>7804</v>
      </c>
      <c r="D2211" t="s">
        <v>7805</v>
      </c>
      <c r="E2211" t="s">
        <v>20</v>
      </c>
      <c r="F2211" t="s">
        <v>7458</v>
      </c>
      <c r="G2211" t="s">
        <v>5600</v>
      </c>
      <c r="H2211" t="s">
        <v>7806</v>
      </c>
      <c r="I2211" t="s">
        <v>7807</v>
      </c>
    </row>
    <row r="2212" spans="1:9">
      <c r="A2212" t="str">
        <f>"0031119 "</f>
        <v xml:space="preserve">0031119 </v>
      </c>
      <c r="B2212" t="s">
        <v>5597</v>
      </c>
      <c r="C2212" t="s">
        <v>7808</v>
      </c>
      <c r="D2212" t="s">
        <v>7809</v>
      </c>
      <c r="E2212">
        <v>2</v>
      </c>
      <c r="F2212" t="s">
        <v>5435</v>
      </c>
      <c r="G2212" t="s">
        <v>5600</v>
      </c>
      <c r="H2212" t="s">
        <v>7810</v>
      </c>
      <c r="I2212" t="s">
        <v>7811</v>
      </c>
    </row>
    <row r="2213" spans="1:9">
      <c r="A2213" t="str">
        <f>"0031123 "</f>
        <v xml:space="preserve">0031123 </v>
      </c>
      <c r="B2213" t="s">
        <v>5597</v>
      </c>
      <c r="C2213" t="s">
        <v>7812</v>
      </c>
      <c r="D2213" t="s">
        <v>7813</v>
      </c>
      <c r="E2213">
        <v>2</v>
      </c>
      <c r="F2213" t="s">
        <v>7814</v>
      </c>
      <c r="G2213" t="s">
        <v>5600</v>
      </c>
      <c r="H2213" t="s">
        <v>7815</v>
      </c>
      <c r="I2213" t="s">
        <v>7816</v>
      </c>
    </row>
    <row r="2214" spans="1:9">
      <c r="A2214" t="str">
        <f>"0031125 "</f>
        <v xml:space="preserve">0031125 </v>
      </c>
      <c r="B2214" t="s">
        <v>5597</v>
      </c>
      <c r="C2214" t="s">
        <v>7817</v>
      </c>
      <c r="D2214" t="s">
        <v>7818</v>
      </c>
      <c r="E2214" t="s">
        <v>20</v>
      </c>
      <c r="F2214" t="s">
        <v>5750</v>
      </c>
      <c r="G2214" t="s">
        <v>5600</v>
      </c>
      <c r="H2214" t="s">
        <v>7819</v>
      </c>
      <c r="I2214" t="s">
        <v>7820</v>
      </c>
    </row>
    <row r="2215" spans="1:9">
      <c r="A2215" t="str">
        <f>"0031128 "</f>
        <v xml:space="preserve">0031128 </v>
      </c>
      <c r="B2215" t="s">
        <v>5597</v>
      </c>
      <c r="C2215" t="s">
        <v>7821</v>
      </c>
      <c r="D2215" t="s">
        <v>7822</v>
      </c>
      <c r="E2215">
        <v>1</v>
      </c>
      <c r="F2215" t="s">
        <v>5776</v>
      </c>
      <c r="G2215" t="s">
        <v>5600</v>
      </c>
      <c r="H2215" t="s">
        <v>7823</v>
      </c>
      <c r="I2215" t="s">
        <v>7824</v>
      </c>
    </row>
    <row r="2216" spans="1:9">
      <c r="A2216" t="str">
        <f>"0031130 "</f>
        <v xml:space="preserve">0031130 </v>
      </c>
      <c r="B2216" t="s">
        <v>5597</v>
      </c>
      <c r="C2216" t="s">
        <v>7825</v>
      </c>
      <c r="D2216" t="s">
        <v>7826</v>
      </c>
      <c r="E2216">
        <v>1</v>
      </c>
      <c r="F2216" t="s">
        <v>7827</v>
      </c>
      <c r="G2216" t="s">
        <v>5600</v>
      </c>
      <c r="H2216" t="s">
        <v>7828</v>
      </c>
      <c r="I2216" t="s">
        <v>7829</v>
      </c>
    </row>
    <row r="2217" spans="1:9">
      <c r="A2217" t="str">
        <f>"0031833 "</f>
        <v xml:space="preserve">0031833 </v>
      </c>
      <c r="B2217" t="s">
        <v>5597</v>
      </c>
      <c r="C2217" t="s">
        <v>7830</v>
      </c>
      <c r="D2217" t="s">
        <v>7831</v>
      </c>
      <c r="E2217" t="s">
        <v>20</v>
      </c>
      <c r="F2217" t="s">
        <v>7832</v>
      </c>
      <c r="G2217" t="s">
        <v>5600</v>
      </c>
      <c r="H2217" t="s">
        <v>7833</v>
      </c>
      <c r="I2217" t="s">
        <v>7834</v>
      </c>
    </row>
    <row r="2218" spans="1:9">
      <c r="A2218" t="str">
        <f>"0031834 "</f>
        <v xml:space="preserve">0031834 </v>
      </c>
      <c r="B2218" t="s">
        <v>5597</v>
      </c>
      <c r="C2218" t="s">
        <v>7835</v>
      </c>
      <c r="D2218" t="s">
        <v>7836</v>
      </c>
      <c r="E2218" t="s">
        <v>20</v>
      </c>
      <c r="F2218" t="s">
        <v>7837</v>
      </c>
      <c r="G2218" t="s">
        <v>5600</v>
      </c>
      <c r="H2218" t="s">
        <v>7838</v>
      </c>
      <c r="I2218" t="s">
        <v>7839</v>
      </c>
    </row>
    <row r="2219" spans="1:9">
      <c r="A2219" t="str">
        <f>"0031835 "</f>
        <v xml:space="preserve">0031835 </v>
      </c>
      <c r="B2219" t="s">
        <v>5597</v>
      </c>
      <c r="C2219" t="s">
        <v>7840</v>
      </c>
      <c r="D2219" t="s">
        <v>7841</v>
      </c>
      <c r="E2219" t="s">
        <v>20</v>
      </c>
      <c r="F2219" t="s">
        <v>7842</v>
      </c>
      <c r="G2219" t="s">
        <v>5600</v>
      </c>
      <c r="H2219" t="s">
        <v>7843</v>
      </c>
      <c r="I2219" t="s">
        <v>7844</v>
      </c>
    </row>
    <row r="2220" spans="1:9">
      <c r="A2220" t="str">
        <f>"0031836 "</f>
        <v xml:space="preserve">0031836 </v>
      </c>
      <c r="B2220" t="s">
        <v>5597</v>
      </c>
      <c r="C2220" t="s">
        <v>7845</v>
      </c>
      <c r="D2220" t="s">
        <v>7846</v>
      </c>
      <c r="E2220" t="s">
        <v>20</v>
      </c>
      <c r="F2220" t="s">
        <v>7847</v>
      </c>
      <c r="G2220" t="s">
        <v>5600</v>
      </c>
      <c r="H2220" t="s">
        <v>7848</v>
      </c>
      <c r="I2220" t="s">
        <v>7849</v>
      </c>
    </row>
    <row r="2221" spans="1:9">
      <c r="A2221" t="str">
        <f>"0031134 "</f>
        <v xml:space="preserve">0031134 </v>
      </c>
      <c r="B2221" t="s">
        <v>5597</v>
      </c>
      <c r="C2221" t="s">
        <v>7850</v>
      </c>
      <c r="D2221" t="s">
        <v>7851</v>
      </c>
      <c r="E2221" t="s">
        <v>20</v>
      </c>
      <c r="F2221" t="s">
        <v>7852</v>
      </c>
      <c r="G2221" t="s">
        <v>5600</v>
      </c>
      <c r="H2221" t="s">
        <v>7853</v>
      </c>
      <c r="I2221" t="s">
        <v>3432</v>
      </c>
    </row>
    <row r="2222" spans="1:9">
      <c r="A2222" t="str">
        <f>"0031137 "</f>
        <v xml:space="preserve">0031137 </v>
      </c>
      <c r="B2222" t="s">
        <v>5597</v>
      </c>
      <c r="C2222" t="s">
        <v>7854</v>
      </c>
      <c r="D2222" t="s">
        <v>7855</v>
      </c>
      <c r="E2222">
        <v>2</v>
      </c>
      <c r="F2222" t="s">
        <v>7856</v>
      </c>
      <c r="G2222" t="s">
        <v>5600</v>
      </c>
      <c r="H2222" t="s">
        <v>7857</v>
      </c>
      <c r="I2222" t="s">
        <v>3863</v>
      </c>
    </row>
    <row r="2223" spans="1:9">
      <c r="A2223" t="str">
        <f>"0031138 "</f>
        <v xml:space="preserve">0031138 </v>
      </c>
      <c r="B2223" t="s">
        <v>5597</v>
      </c>
      <c r="C2223" t="s">
        <v>7858</v>
      </c>
      <c r="D2223" t="s">
        <v>7859</v>
      </c>
      <c r="E2223">
        <v>1</v>
      </c>
      <c r="F2223" t="s">
        <v>7860</v>
      </c>
      <c r="G2223" t="s">
        <v>5600</v>
      </c>
      <c r="H2223" t="s">
        <v>7861</v>
      </c>
      <c r="I2223" t="s">
        <v>7862</v>
      </c>
    </row>
    <row r="2224" spans="1:9">
      <c r="A2224" t="str">
        <f>"0031140 "</f>
        <v xml:space="preserve">0031140 </v>
      </c>
      <c r="B2224" t="s">
        <v>5597</v>
      </c>
      <c r="C2224" t="s">
        <v>7863</v>
      </c>
      <c r="D2224" t="s">
        <v>7864</v>
      </c>
      <c r="E2224">
        <v>1</v>
      </c>
      <c r="F2224" t="s">
        <v>7865</v>
      </c>
      <c r="G2224" t="s">
        <v>5600</v>
      </c>
      <c r="H2224" t="s">
        <v>7866</v>
      </c>
      <c r="I2224" t="s">
        <v>7867</v>
      </c>
    </row>
    <row r="2225" spans="1:9">
      <c r="A2225" t="str">
        <f>"0031141 "</f>
        <v xml:space="preserve">0031141 </v>
      </c>
      <c r="B2225" t="s">
        <v>5597</v>
      </c>
      <c r="C2225" t="s">
        <v>7868</v>
      </c>
      <c r="D2225" t="s">
        <v>7869</v>
      </c>
      <c r="E2225" t="s">
        <v>20</v>
      </c>
      <c r="F2225" t="s">
        <v>7870</v>
      </c>
      <c r="G2225" t="s">
        <v>5600</v>
      </c>
      <c r="H2225" t="s">
        <v>7871</v>
      </c>
      <c r="I2225" t="s">
        <v>7872</v>
      </c>
    </row>
    <row r="2226" spans="1:9">
      <c r="A2226" t="str">
        <f>"0031142 "</f>
        <v xml:space="preserve">0031142 </v>
      </c>
      <c r="B2226" t="s">
        <v>5597</v>
      </c>
      <c r="C2226" t="s">
        <v>7873</v>
      </c>
      <c r="D2226" t="s">
        <v>7874</v>
      </c>
      <c r="E2226">
        <v>1</v>
      </c>
      <c r="F2226" t="s">
        <v>7875</v>
      </c>
      <c r="G2226" t="s">
        <v>5600</v>
      </c>
      <c r="H2226" t="s">
        <v>7876</v>
      </c>
      <c r="I2226" t="s">
        <v>7877</v>
      </c>
    </row>
    <row r="2227" spans="1:9">
      <c r="A2227" t="str">
        <f>"0031144 "</f>
        <v xml:space="preserve">0031144 </v>
      </c>
      <c r="B2227" t="s">
        <v>5597</v>
      </c>
      <c r="C2227" t="s">
        <v>7878</v>
      </c>
      <c r="D2227" t="s">
        <v>7879</v>
      </c>
      <c r="E2227" t="s">
        <v>20</v>
      </c>
      <c r="F2227" t="s">
        <v>6020</v>
      </c>
      <c r="G2227" t="s">
        <v>5600</v>
      </c>
      <c r="H2227" t="s">
        <v>7880</v>
      </c>
      <c r="I2227" t="s">
        <v>5029</v>
      </c>
    </row>
    <row r="2228" spans="1:9">
      <c r="A2228" t="str">
        <f>"0031145 "</f>
        <v xml:space="preserve">0031145 </v>
      </c>
      <c r="B2228" t="s">
        <v>5597</v>
      </c>
      <c r="C2228" t="s">
        <v>7881</v>
      </c>
      <c r="D2228" t="s">
        <v>7882</v>
      </c>
      <c r="E2228">
        <v>1</v>
      </c>
      <c r="F2228" t="s">
        <v>6197</v>
      </c>
      <c r="G2228" t="s">
        <v>5600</v>
      </c>
      <c r="H2228" t="s">
        <v>7883</v>
      </c>
      <c r="I2228" t="s">
        <v>7884</v>
      </c>
    </row>
    <row r="2229" spans="1:9">
      <c r="A2229" t="str">
        <f>"0031147 "</f>
        <v xml:space="preserve">0031147 </v>
      </c>
      <c r="B2229" t="s">
        <v>5597</v>
      </c>
      <c r="C2229" t="s">
        <v>7885</v>
      </c>
      <c r="D2229" t="s">
        <v>7886</v>
      </c>
      <c r="E2229" t="s">
        <v>20</v>
      </c>
      <c r="F2229" t="s">
        <v>7887</v>
      </c>
      <c r="G2229" t="s">
        <v>5600</v>
      </c>
      <c r="H2229" t="s">
        <v>7888</v>
      </c>
      <c r="I2229" t="s">
        <v>7889</v>
      </c>
    </row>
    <row r="2230" spans="1:9">
      <c r="A2230" t="str">
        <f>"0031148 "</f>
        <v xml:space="preserve">0031148 </v>
      </c>
      <c r="B2230" t="s">
        <v>5597</v>
      </c>
      <c r="C2230" t="s">
        <v>7890</v>
      </c>
      <c r="D2230" t="s">
        <v>7891</v>
      </c>
      <c r="E2230">
        <v>1</v>
      </c>
      <c r="F2230" t="s">
        <v>7892</v>
      </c>
      <c r="G2230" t="s">
        <v>5600</v>
      </c>
      <c r="H2230" t="s">
        <v>7893</v>
      </c>
      <c r="I2230" t="s">
        <v>5096</v>
      </c>
    </row>
    <row r="2231" spans="1:9">
      <c r="A2231" t="str">
        <f>"0031149 "</f>
        <v xml:space="preserve">0031149 </v>
      </c>
      <c r="B2231" t="s">
        <v>5597</v>
      </c>
      <c r="C2231" t="s">
        <v>7894</v>
      </c>
      <c r="D2231" t="s">
        <v>7895</v>
      </c>
      <c r="E2231" t="s">
        <v>20</v>
      </c>
      <c r="F2231" t="s">
        <v>5835</v>
      </c>
      <c r="G2231" t="s">
        <v>5600</v>
      </c>
      <c r="H2231" t="s">
        <v>7896</v>
      </c>
      <c r="I2231" t="s">
        <v>7897</v>
      </c>
    </row>
    <row r="2232" spans="1:9">
      <c r="A2232" t="str">
        <f>"0031150 "</f>
        <v xml:space="preserve">0031150 </v>
      </c>
      <c r="B2232" t="s">
        <v>5597</v>
      </c>
      <c r="C2232" t="s">
        <v>7898</v>
      </c>
      <c r="D2232" t="s">
        <v>7899</v>
      </c>
      <c r="E2232" t="s">
        <v>20</v>
      </c>
      <c r="F2232" t="s">
        <v>7900</v>
      </c>
      <c r="G2232" t="s">
        <v>5600</v>
      </c>
      <c r="H2232" t="s">
        <v>7901</v>
      </c>
      <c r="I2232" t="s">
        <v>7902</v>
      </c>
    </row>
    <row r="2233" spans="1:9">
      <c r="A2233" t="str">
        <f>"0031153 "</f>
        <v xml:space="preserve">0031153 </v>
      </c>
      <c r="B2233" t="s">
        <v>5597</v>
      </c>
      <c r="C2233" t="s">
        <v>7903</v>
      </c>
      <c r="D2233" t="s">
        <v>7904</v>
      </c>
      <c r="E2233">
        <v>3</v>
      </c>
      <c r="F2233" t="s">
        <v>7905</v>
      </c>
      <c r="G2233" t="s">
        <v>5600</v>
      </c>
      <c r="H2233" t="s">
        <v>7906</v>
      </c>
      <c r="I2233" t="s">
        <v>7907</v>
      </c>
    </row>
    <row r="2234" spans="1:9">
      <c r="A2234" t="str">
        <f>"0031154 "</f>
        <v xml:space="preserve">0031154 </v>
      </c>
      <c r="B2234" t="s">
        <v>5597</v>
      </c>
      <c r="C2234" t="s">
        <v>7908</v>
      </c>
      <c r="D2234" t="s">
        <v>7909</v>
      </c>
      <c r="E2234">
        <v>4</v>
      </c>
      <c r="F2234" t="s">
        <v>6272</v>
      </c>
      <c r="G2234" t="s">
        <v>5600</v>
      </c>
      <c r="H2234" t="s">
        <v>7910</v>
      </c>
      <c r="I2234" t="s">
        <v>7911</v>
      </c>
    </row>
    <row r="2235" spans="1:9">
      <c r="A2235" t="str">
        <f>"0038194 "</f>
        <v xml:space="preserve">0038194 </v>
      </c>
      <c r="B2235" t="s">
        <v>5597</v>
      </c>
      <c r="C2235" t="s">
        <v>7912</v>
      </c>
      <c r="D2235" t="s">
        <v>7913</v>
      </c>
      <c r="E2235">
        <v>3</v>
      </c>
      <c r="F2235" t="s">
        <v>5620</v>
      </c>
      <c r="G2235" t="s">
        <v>5600</v>
      </c>
      <c r="H2235" t="s">
        <v>7914</v>
      </c>
      <c r="I2235" t="s">
        <v>7915</v>
      </c>
    </row>
    <row r="2236" spans="1:9">
      <c r="A2236" t="str">
        <f>"0031155 "</f>
        <v xml:space="preserve">0031155 </v>
      </c>
      <c r="B2236" t="s">
        <v>5597</v>
      </c>
      <c r="C2236" t="s">
        <v>7916</v>
      </c>
      <c r="D2236" t="s">
        <v>7917</v>
      </c>
      <c r="E2236" t="s">
        <v>20</v>
      </c>
      <c r="F2236" t="s">
        <v>7918</v>
      </c>
      <c r="G2236" t="s">
        <v>5600</v>
      </c>
      <c r="H2236" t="s">
        <v>7919</v>
      </c>
      <c r="I2236" t="s">
        <v>5096</v>
      </c>
    </row>
    <row r="2237" spans="1:9">
      <c r="A2237" t="str">
        <f>"0031159 "</f>
        <v xml:space="preserve">0031159 </v>
      </c>
      <c r="B2237" t="s">
        <v>5597</v>
      </c>
      <c r="C2237" t="s">
        <v>7920</v>
      </c>
      <c r="D2237" t="s">
        <v>7921</v>
      </c>
      <c r="E2237">
        <v>2</v>
      </c>
      <c r="F2237" t="s">
        <v>7922</v>
      </c>
      <c r="G2237" t="s">
        <v>5600</v>
      </c>
      <c r="H2237" t="s">
        <v>7923</v>
      </c>
      <c r="I2237" t="s">
        <v>7924</v>
      </c>
    </row>
    <row r="2238" spans="1:9">
      <c r="A2238" t="str">
        <f>"0031160 "</f>
        <v xml:space="preserve">0031160 </v>
      </c>
      <c r="B2238" t="s">
        <v>5597</v>
      </c>
      <c r="C2238" t="s">
        <v>7925</v>
      </c>
      <c r="D2238" t="s">
        <v>7926</v>
      </c>
      <c r="E2238" t="s">
        <v>20</v>
      </c>
      <c r="F2238" t="s">
        <v>7220</v>
      </c>
      <c r="G2238" t="s">
        <v>5600</v>
      </c>
      <c r="H2238" t="s">
        <v>7927</v>
      </c>
      <c r="I2238" t="s">
        <v>7928</v>
      </c>
    </row>
    <row r="2239" spans="1:9">
      <c r="A2239" t="str">
        <f>"0031161 "</f>
        <v xml:space="preserve">0031161 </v>
      </c>
      <c r="B2239" t="s">
        <v>5597</v>
      </c>
      <c r="C2239" t="s">
        <v>7929</v>
      </c>
      <c r="D2239" t="s">
        <v>7930</v>
      </c>
      <c r="E2239" t="s">
        <v>20</v>
      </c>
      <c r="F2239" t="s">
        <v>7931</v>
      </c>
      <c r="G2239" t="s">
        <v>5600</v>
      </c>
      <c r="H2239" t="s">
        <v>7932</v>
      </c>
      <c r="I2239" t="s">
        <v>7933</v>
      </c>
    </row>
    <row r="2240" spans="1:9">
      <c r="A2240" t="str">
        <f>"0031162 "</f>
        <v xml:space="preserve">0031162 </v>
      </c>
      <c r="B2240" t="s">
        <v>5597</v>
      </c>
      <c r="C2240" t="s">
        <v>7934</v>
      </c>
      <c r="D2240" t="s">
        <v>7935</v>
      </c>
      <c r="E2240">
        <v>5</v>
      </c>
      <c r="F2240" t="s">
        <v>7936</v>
      </c>
      <c r="G2240" t="s">
        <v>5600</v>
      </c>
      <c r="H2240" t="s">
        <v>7937</v>
      </c>
      <c r="I2240" t="s">
        <v>7938</v>
      </c>
    </row>
    <row r="2241" spans="1:9">
      <c r="A2241" t="str">
        <f>"0031163 "</f>
        <v xml:space="preserve">0031163 </v>
      </c>
      <c r="B2241" t="s">
        <v>5597</v>
      </c>
      <c r="C2241" t="s">
        <v>7939</v>
      </c>
      <c r="D2241" t="s">
        <v>7940</v>
      </c>
      <c r="E2241">
        <v>3</v>
      </c>
      <c r="F2241" t="s">
        <v>5020</v>
      </c>
      <c r="G2241" t="s">
        <v>5600</v>
      </c>
      <c r="H2241" t="s">
        <v>7941</v>
      </c>
      <c r="I2241" t="s">
        <v>7942</v>
      </c>
    </row>
    <row r="2242" spans="1:9">
      <c r="A2242" t="str">
        <f>"0031164 "</f>
        <v xml:space="preserve">0031164 </v>
      </c>
      <c r="B2242" t="s">
        <v>5597</v>
      </c>
      <c r="C2242" t="s">
        <v>7943</v>
      </c>
      <c r="D2242" t="s">
        <v>7944</v>
      </c>
      <c r="E2242">
        <v>4</v>
      </c>
      <c r="F2242" t="s">
        <v>7827</v>
      </c>
      <c r="G2242" t="s">
        <v>5600</v>
      </c>
      <c r="H2242" t="s">
        <v>7945</v>
      </c>
      <c r="I2242" t="s">
        <v>7946</v>
      </c>
    </row>
    <row r="2243" spans="1:9">
      <c r="A2243" t="str">
        <f>"0031165 "</f>
        <v xml:space="preserve">0031165 </v>
      </c>
      <c r="B2243" t="s">
        <v>5597</v>
      </c>
      <c r="C2243" t="s">
        <v>7947</v>
      </c>
      <c r="D2243" t="s">
        <v>7948</v>
      </c>
      <c r="E2243">
        <v>2</v>
      </c>
      <c r="F2243" t="s">
        <v>5930</v>
      </c>
      <c r="G2243" t="s">
        <v>5600</v>
      </c>
      <c r="H2243" t="s">
        <v>7949</v>
      </c>
      <c r="I2243" t="s">
        <v>7950</v>
      </c>
    </row>
    <row r="2244" spans="1:9">
      <c r="A2244" t="str">
        <f>"0031166 "</f>
        <v xml:space="preserve">0031166 </v>
      </c>
      <c r="B2244" t="s">
        <v>5597</v>
      </c>
      <c r="C2244" t="s">
        <v>7951</v>
      </c>
      <c r="D2244" t="s">
        <v>7952</v>
      </c>
      <c r="E2244">
        <v>3</v>
      </c>
      <c r="F2244" t="s">
        <v>6978</v>
      </c>
      <c r="G2244" t="s">
        <v>5600</v>
      </c>
      <c r="H2244" t="s">
        <v>7953</v>
      </c>
      <c r="I2244" t="s">
        <v>7954</v>
      </c>
    </row>
    <row r="2245" spans="1:9">
      <c r="A2245" t="str">
        <f>"0031167 "</f>
        <v xml:space="preserve">0031167 </v>
      </c>
      <c r="B2245" t="s">
        <v>5597</v>
      </c>
      <c r="C2245" t="s">
        <v>7955</v>
      </c>
      <c r="D2245" t="s">
        <v>7956</v>
      </c>
      <c r="E2245">
        <v>2</v>
      </c>
      <c r="F2245" t="s">
        <v>6001</v>
      </c>
      <c r="G2245" t="s">
        <v>5600</v>
      </c>
      <c r="H2245" t="s">
        <v>7957</v>
      </c>
      <c r="I2245" t="s">
        <v>7958</v>
      </c>
    </row>
    <row r="2246" spans="1:9">
      <c r="A2246" t="str">
        <f>"0031169 "</f>
        <v xml:space="preserve">0031169 </v>
      </c>
      <c r="B2246" t="s">
        <v>5597</v>
      </c>
      <c r="C2246" t="s">
        <v>7959</v>
      </c>
      <c r="D2246" t="s">
        <v>7960</v>
      </c>
      <c r="E2246">
        <v>2</v>
      </c>
      <c r="F2246" t="s">
        <v>6281</v>
      </c>
      <c r="G2246" t="s">
        <v>5600</v>
      </c>
      <c r="H2246" t="s">
        <v>7961</v>
      </c>
      <c r="I2246" t="s">
        <v>7962</v>
      </c>
    </row>
    <row r="2247" spans="1:9">
      <c r="A2247" t="str">
        <f>"0031170 "</f>
        <v xml:space="preserve">0031170 </v>
      </c>
      <c r="B2247" t="s">
        <v>5597</v>
      </c>
      <c r="C2247" t="s">
        <v>7963</v>
      </c>
      <c r="D2247" t="s">
        <v>7964</v>
      </c>
      <c r="E2247">
        <v>1</v>
      </c>
      <c r="F2247" t="s">
        <v>7965</v>
      </c>
      <c r="G2247" t="s">
        <v>5600</v>
      </c>
      <c r="H2247" t="s">
        <v>7966</v>
      </c>
      <c r="I2247" t="s">
        <v>7967</v>
      </c>
    </row>
    <row r="2248" spans="1:9">
      <c r="A2248" t="str">
        <f>"0031171 "</f>
        <v xml:space="preserve">0031171 </v>
      </c>
      <c r="B2248" t="s">
        <v>5597</v>
      </c>
      <c r="C2248" t="s">
        <v>7968</v>
      </c>
      <c r="D2248" t="s">
        <v>7969</v>
      </c>
      <c r="E2248">
        <v>5</v>
      </c>
      <c r="F2248" t="s">
        <v>7970</v>
      </c>
      <c r="G2248" t="s">
        <v>5600</v>
      </c>
      <c r="H2248" t="s">
        <v>7971</v>
      </c>
      <c r="I2248" t="s">
        <v>7972</v>
      </c>
    </row>
    <row r="2249" spans="1:9">
      <c r="A2249" t="str">
        <f>"0031172 "</f>
        <v xml:space="preserve">0031172 </v>
      </c>
      <c r="B2249" t="s">
        <v>5597</v>
      </c>
      <c r="C2249" t="s">
        <v>7973</v>
      </c>
      <c r="D2249" t="s">
        <v>7974</v>
      </c>
      <c r="E2249" t="s">
        <v>20</v>
      </c>
      <c r="F2249" t="s">
        <v>7975</v>
      </c>
      <c r="G2249" t="s">
        <v>5600</v>
      </c>
      <c r="H2249" t="s">
        <v>7976</v>
      </c>
      <c r="I2249" t="s">
        <v>7977</v>
      </c>
    </row>
    <row r="2250" spans="1:9">
      <c r="A2250" t="str">
        <f>"0031173 "</f>
        <v xml:space="preserve">0031173 </v>
      </c>
      <c r="B2250" t="s">
        <v>5597</v>
      </c>
      <c r="C2250" t="s">
        <v>7978</v>
      </c>
      <c r="D2250" t="s">
        <v>7979</v>
      </c>
      <c r="E2250" t="s">
        <v>20</v>
      </c>
      <c r="F2250" t="s">
        <v>7980</v>
      </c>
      <c r="G2250" t="s">
        <v>5600</v>
      </c>
      <c r="H2250" t="s">
        <v>7981</v>
      </c>
      <c r="I2250" t="s">
        <v>7982</v>
      </c>
    </row>
    <row r="2251" spans="1:9">
      <c r="A2251" t="str">
        <f>"0031174 "</f>
        <v xml:space="preserve">0031174 </v>
      </c>
      <c r="B2251" t="s">
        <v>5597</v>
      </c>
      <c r="C2251" t="s">
        <v>7983</v>
      </c>
      <c r="D2251" t="s">
        <v>7984</v>
      </c>
      <c r="E2251" t="s">
        <v>20</v>
      </c>
      <c r="F2251" t="s">
        <v>7985</v>
      </c>
      <c r="G2251" t="s">
        <v>5600</v>
      </c>
      <c r="H2251" t="s">
        <v>7986</v>
      </c>
      <c r="I2251" t="s">
        <v>7987</v>
      </c>
    </row>
    <row r="2252" spans="1:9">
      <c r="A2252" t="str">
        <f>"0031175 "</f>
        <v xml:space="preserve">0031175 </v>
      </c>
      <c r="B2252" t="s">
        <v>5597</v>
      </c>
      <c r="C2252" t="s">
        <v>7988</v>
      </c>
      <c r="D2252" t="s">
        <v>7989</v>
      </c>
      <c r="E2252" t="s">
        <v>20</v>
      </c>
      <c r="F2252" t="s">
        <v>7381</v>
      </c>
      <c r="G2252" t="s">
        <v>5600</v>
      </c>
      <c r="H2252" t="s">
        <v>7990</v>
      </c>
      <c r="I2252" t="s">
        <v>7991</v>
      </c>
    </row>
    <row r="2253" spans="1:9">
      <c r="A2253" t="str">
        <f>"0031176 "</f>
        <v xml:space="preserve">0031176 </v>
      </c>
      <c r="B2253" t="s">
        <v>5597</v>
      </c>
      <c r="C2253" t="s">
        <v>7992</v>
      </c>
      <c r="D2253" t="s">
        <v>7993</v>
      </c>
      <c r="E2253">
        <v>1</v>
      </c>
      <c r="F2253" t="s">
        <v>5827</v>
      </c>
      <c r="G2253" t="s">
        <v>5600</v>
      </c>
      <c r="H2253" t="s">
        <v>7994</v>
      </c>
      <c r="I2253" t="s">
        <v>1151</v>
      </c>
    </row>
    <row r="2254" spans="1:9">
      <c r="A2254" t="str">
        <f>"0031177 "</f>
        <v xml:space="preserve">0031177 </v>
      </c>
      <c r="B2254" t="s">
        <v>5597</v>
      </c>
      <c r="C2254" t="s">
        <v>7995</v>
      </c>
      <c r="D2254" t="s">
        <v>7996</v>
      </c>
      <c r="E2254">
        <v>4</v>
      </c>
      <c r="F2254" t="s">
        <v>7970</v>
      </c>
      <c r="G2254" t="s">
        <v>5600</v>
      </c>
      <c r="H2254" t="s">
        <v>7997</v>
      </c>
      <c r="I2254" t="s">
        <v>7998</v>
      </c>
    </row>
    <row r="2255" spans="1:9">
      <c r="A2255" t="str">
        <f>"0031178 "</f>
        <v xml:space="preserve">0031178 </v>
      </c>
      <c r="B2255" t="s">
        <v>5597</v>
      </c>
      <c r="C2255" t="s">
        <v>7999</v>
      </c>
      <c r="D2255" t="s">
        <v>8000</v>
      </c>
      <c r="E2255">
        <v>5</v>
      </c>
      <c r="F2255" t="s">
        <v>8001</v>
      </c>
      <c r="G2255" t="s">
        <v>5600</v>
      </c>
      <c r="H2255" t="s">
        <v>8002</v>
      </c>
      <c r="I2255" t="s">
        <v>8003</v>
      </c>
    </row>
    <row r="2256" spans="1:9">
      <c r="A2256" t="str">
        <f>"0031179 "</f>
        <v xml:space="preserve">0031179 </v>
      </c>
      <c r="B2256" t="s">
        <v>5597</v>
      </c>
      <c r="C2256" t="s">
        <v>8004</v>
      </c>
      <c r="D2256" t="s">
        <v>8005</v>
      </c>
      <c r="E2256">
        <v>4</v>
      </c>
      <c r="F2256" t="s">
        <v>7985</v>
      </c>
      <c r="G2256" t="s">
        <v>5600</v>
      </c>
      <c r="H2256" t="s">
        <v>8006</v>
      </c>
      <c r="I2256" t="s">
        <v>1103</v>
      </c>
    </row>
    <row r="2257" spans="1:9">
      <c r="A2257" t="str">
        <f>"0031180 "</f>
        <v xml:space="preserve">0031180 </v>
      </c>
      <c r="B2257" t="s">
        <v>5597</v>
      </c>
      <c r="C2257" t="s">
        <v>8007</v>
      </c>
      <c r="D2257" t="s">
        <v>8008</v>
      </c>
      <c r="E2257">
        <v>1</v>
      </c>
      <c r="F2257" t="s">
        <v>8009</v>
      </c>
      <c r="G2257" t="s">
        <v>5600</v>
      </c>
      <c r="H2257" t="s">
        <v>8010</v>
      </c>
      <c r="I2257" t="s">
        <v>8011</v>
      </c>
    </row>
    <row r="2258" spans="1:9">
      <c r="A2258" t="str">
        <f>"0031184 "</f>
        <v xml:space="preserve">0031184 </v>
      </c>
      <c r="B2258" t="s">
        <v>5597</v>
      </c>
      <c r="C2258" t="s">
        <v>8012</v>
      </c>
      <c r="D2258" t="s">
        <v>8013</v>
      </c>
      <c r="E2258">
        <v>1</v>
      </c>
      <c r="F2258" t="s">
        <v>8014</v>
      </c>
      <c r="G2258" t="s">
        <v>5600</v>
      </c>
      <c r="H2258" t="s">
        <v>8015</v>
      </c>
      <c r="I2258" t="s">
        <v>8016</v>
      </c>
    </row>
    <row r="2259" spans="1:9">
      <c r="A2259" t="str">
        <f>"0031185 "</f>
        <v xml:space="preserve">0031185 </v>
      </c>
      <c r="B2259" t="s">
        <v>5597</v>
      </c>
      <c r="C2259" t="s">
        <v>8017</v>
      </c>
      <c r="D2259" t="s">
        <v>8018</v>
      </c>
      <c r="E2259" t="s">
        <v>20</v>
      </c>
      <c r="F2259" t="s">
        <v>8019</v>
      </c>
      <c r="G2259" t="s">
        <v>5600</v>
      </c>
      <c r="H2259" t="s">
        <v>8020</v>
      </c>
      <c r="I2259" t="s">
        <v>8021</v>
      </c>
    </row>
    <row r="2260" spans="1:9">
      <c r="A2260" t="str">
        <f>"0031186 "</f>
        <v xml:space="preserve">0031186 </v>
      </c>
      <c r="B2260" t="s">
        <v>5597</v>
      </c>
      <c r="C2260" t="s">
        <v>8022</v>
      </c>
      <c r="D2260" t="s">
        <v>8023</v>
      </c>
      <c r="E2260" t="s">
        <v>20</v>
      </c>
      <c r="F2260" t="s">
        <v>8024</v>
      </c>
      <c r="G2260" t="s">
        <v>5600</v>
      </c>
      <c r="H2260" t="s">
        <v>8025</v>
      </c>
      <c r="I2260" t="s">
        <v>8026</v>
      </c>
    </row>
    <row r="2261" spans="1:9">
      <c r="A2261" t="str">
        <f>"0031189 "</f>
        <v xml:space="preserve">0031189 </v>
      </c>
      <c r="B2261" t="s">
        <v>5597</v>
      </c>
      <c r="C2261" t="s">
        <v>8027</v>
      </c>
      <c r="D2261" t="s">
        <v>8028</v>
      </c>
      <c r="E2261">
        <v>1</v>
      </c>
      <c r="F2261" t="s">
        <v>6187</v>
      </c>
      <c r="G2261" t="s">
        <v>5600</v>
      </c>
      <c r="H2261" t="s">
        <v>8029</v>
      </c>
      <c r="I2261" t="s">
        <v>8030</v>
      </c>
    </row>
    <row r="2262" spans="1:9">
      <c r="A2262" t="str">
        <f>"0031193 "</f>
        <v xml:space="preserve">0031193 </v>
      </c>
      <c r="B2262" t="s">
        <v>5597</v>
      </c>
      <c r="C2262" t="s">
        <v>8031</v>
      </c>
      <c r="D2262" t="s">
        <v>8032</v>
      </c>
      <c r="E2262">
        <v>1</v>
      </c>
      <c r="F2262" t="s">
        <v>8033</v>
      </c>
      <c r="G2262" t="s">
        <v>5600</v>
      </c>
      <c r="H2262" t="s">
        <v>8034</v>
      </c>
      <c r="I2262" t="s">
        <v>8035</v>
      </c>
    </row>
    <row r="2263" spans="1:9">
      <c r="A2263" t="str">
        <f>"0031194 "</f>
        <v xml:space="preserve">0031194 </v>
      </c>
      <c r="B2263" t="s">
        <v>5597</v>
      </c>
      <c r="C2263" t="s">
        <v>8036</v>
      </c>
      <c r="D2263" t="s">
        <v>8037</v>
      </c>
      <c r="E2263" t="s">
        <v>20</v>
      </c>
      <c r="F2263" t="s">
        <v>8038</v>
      </c>
      <c r="G2263" t="s">
        <v>5600</v>
      </c>
      <c r="H2263" t="s">
        <v>8039</v>
      </c>
      <c r="I2263" t="s">
        <v>8040</v>
      </c>
    </row>
    <row r="2264" spans="1:9">
      <c r="A2264" t="str">
        <f>"0031195 "</f>
        <v xml:space="preserve">0031195 </v>
      </c>
      <c r="B2264" t="s">
        <v>5597</v>
      </c>
      <c r="C2264" t="s">
        <v>8041</v>
      </c>
      <c r="D2264" t="s">
        <v>8042</v>
      </c>
      <c r="E2264">
        <v>4</v>
      </c>
      <c r="F2264" t="s">
        <v>5910</v>
      </c>
      <c r="G2264" t="s">
        <v>5600</v>
      </c>
      <c r="H2264" t="s">
        <v>8043</v>
      </c>
      <c r="I2264" t="s">
        <v>8044</v>
      </c>
    </row>
    <row r="2265" spans="1:9">
      <c r="A2265" t="str">
        <f>"0031197 "</f>
        <v xml:space="preserve">0031197 </v>
      </c>
      <c r="B2265" t="s">
        <v>5597</v>
      </c>
      <c r="C2265" t="s">
        <v>8045</v>
      </c>
      <c r="D2265" t="s">
        <v>8046</v>
      </c>
      <c r="E2265">
        <v>2</v>
      </c>
      <c r="F2265" t="s">
        <v>5876</v>
      </c>
      <c r="G2265" t="s">
        <v>5600</v>
      </c>
      <c r="H2265" t="s">
        <v>8047</v>
      </c>
      <c r="I2265" t="s">
        <v>1159</v>
      </c>
    </row>
    <row r="2266" spans="1:9">
      <c r="A2266" t="str">
        <f>"0031200 "</f>
        <v xml:space="preserve">0031200 </v>
      </c>
      <c r="B2266" t="s">
        <v>5597</v>
      </c>
      <c r="C2266" t="s">
        <v>8048</v>
      </c>
      <c r="D2266" t="s">
        <v>8049</v>
      </c>
      <c r="E2266">
        <v>1</v>
      </c>
      <c r="F2266" t="s">
        <v>7892</v>
      </c>
      <c r="G2266" t="s">
        <v>5600</v>
      </c>
      <c r="H2266" t="s">
        <v>8050</v>
      </c>
      <c r="I2266" t="s">
        <v>8051</v>
      </c>
    </row>
    <row r="2267" spans="1:9">
      <c r="A2267" t="str">
        <f>"0031201 "</f>
        <v xml:space="preserve">0031201 </v>
      </c>
      <c r="B2267" t="s">
        <v>5597</v>
      </c>
      <c r="C2267" t="s">
        <v>8052</v>
      </c>
      <c r="D2267" t="s">
        <v>8053</v>
      </c>
      <c r="E2267">
        <v>1</v>
      </c>
      <c r="F2267" t="s">
        <v>5604</v>
      </c>
      <c r="G2267" t="s">
        <v>5600</v>
      </c>
      <c r="H2267" t="s">
        <v>8054</v>
      </c>
      <c r="I2267" t="s">
        <v>8055</v>
      </c>
    </row>
    <row r="2268" spans="1:9">
      <c r="A2268" t="str">
        <f>"0031203 "</f>
        <v xml:space="preserve">0031203 </v>
      </c>
      <c r="B2268" t="s">
        <v>5597</v>
      </c>
      <c r="C2268" t="s">
        <v>8056</v>
      </c>
      <c r="D2268" t="s">
        <v>8057</v>
      </c>
      <c r="E2268" t="s">
        <v>20</v>
      </c>
      <c r="F2268" t="s">
        <v>7294</v>
      </c>
      <c r="G2268" t="s">
        <v>5600</v>
      </c>
      <c r="H2268" t="s">
        <v>8058</v>
      </c>
      <c r="I2268" t="s">
        <v>8059</v>
      </c>
    </row>
    <row r="2269" spans="1:9">
      <c r="A2269" t="str">
        <f>"0086647 "</f>
        <v xml:space="preserve">0086647 </v>
      </c>
      <c r="B2269" t="s">
        <v>5597</v>
      </c>
      <c r="C2269" t="s">
        <v>8060</v>
      </c>
      <c r="D2269" t="s">
        <v>8061</v>
      </c>
      <c r="E2269">
        <v>1</v>
      </c>
      <c r="F2269" t="s">
        <v>2270</v>
      </c>
      <c r="G2269" t="s">
        <v>5600</v>
      </c>
      <c r="H2269" t="s">
        <v>8062</v>
      </c>
      <c r="I2269" t="s">
        <v>8063</v>
      </c>
    </row>
    <row r="2270" spans="1:9">
      <c r="A2270" t="str">
        <f>"0031204 "</f>
        <v xml:space="preserve">0031204 </v>
      </c>
      <c r="B2270" t="s">
        <v>5597</v>
      </c>
      <c r="C2270" t="s">
        <v>8064</v>
      </c>
      <c r="D2270" t="s">
        <v>8065</v>
      </c>
      <c r="E2270">
        <v>1</v>
      </c>
      <c r="F2270" t="s">
        <v>6978</v>
      </c>
      <c r="G2270" t="s">
        <v>5600</v>
      </c>
      <c r="H2270" t="s">
        <v>8066</v>
      </c>
      <c r="I2270" t="s">
        <v>5060</v>
      </c>
    </row>
    <row r="2271" spans="1:9">
      <c r="A2271" t="str">
        <f>"0031205 "</f>
        <v xml:space="preserve">0031205 </v>
      </c>
      <c r="B2271" t="s">
        <v>5597</v>
      </c>
      <c r="C2271" t="s">
        <v>8067</v>
      </c>
      <c r="D2271" t="s">
        <v>8068</v>
      </c>
      <c r="E2271">
        <v>1</v>
      </c>
      <c r="F2271" t="s">
        <v>5628</v>
      </c>
      <c r="G2271" t="s">
        <v>5600</v>
      </c>
      <c r="H2271" t="s">
        <v>8069</v>
      </c>
      <c r="I2271" t="s">
        <v>8070</v>
      </c>
    </row>
    <row r="2272" spans="1:9">
      <c r="A2272" t="str">
        <f>"0031208 "</f>
        <v xml:space="preserve">0031208 </v>
      </c>
      <c r="B2272" t="s">
        <v>5597</v>
      </c>
      <c r="C2272" t="s">
        <v>8071</v>
      </c>
      <c r="D2272" t="s">
        <v>8072</v>
      </c>
      <c r="E2272">
        <v>1</v>
      </c>
      <c r="F2272" t="s">
        <v>8073</v>
      </c>
      <c r="G2272" t="s">
        <v>5600</v>
      </c>
      <c r="H2272" t="s">
        <v>8074</v>
      </c>
      <c r="I2272" t="s">
        <v>8075</v>
      </c>
    </row>
    <row r="2273" spans="1:9">
      <c r="A2273" t="str">
        <f>"0031209 "</f>
        <v xml:space="preserve">0031209 </v>
      </c>
      <c r="B2273" t="s">
        <v>5597</v>
      </c>
      <c r="C2273" t="s">
        <v>8076</v>
      </c>
      <c r="D2273" t="s">
        <v>8077</v>
      </c>
      <c r="E2273">
        <v>2</v>
      </c>
      <c r="F2273" t="s">
        <v>8078</v>
      </c>
      <c r="G2273" t="s">
        <v>5600</v>
      </c>
      <c r="H2273" t="s">
        <v>8079</v>
      </c>
      <c r="I2273" t="s">
        <v>8080</v>
      </c>
    </row>
    <row r="2274" spans="1:9">
      <c r="A2274" t="str">
        <f>"0031210 "</f>
        <v xml:space="preserve">0031210 </v>
      </c>
      <c r="B2274" t="s">
        <v>5597</v>
      </c>
      <c r="C2274" t="s">
        <v>8081</v>
      </c>
      <c r="D2274" t="s">
        <v>8082</v>
      </c>
      <c r="E2274">
        <v>2</v>
      </c>
      <c r="F2274" t="s">
        <v>7150</v>
      </c>
      <c r="G2274" t="s">
        <v>5600</v>
      </c>
      <c r="H2274" t="s">
        <v>8083</v>
      </c>
      <c r="I2274" t="s">
        <v>8084</v>
      </c>
    </row>
    <row r="2275" spans="1:9">
      <c r="A2275" t="str">
        <f>"0048800 "</f>
        <v xml:space="preserve">0048800 </v>
      </c>
      <c r="B2275" t="s">
        <v>5597</v>
      </c>
      <c r="C2275" t="s">
        <v>8085</v>
      </c>
      <c r="D2275" t="s">
        <v>8086</v>
      </c>
      <c r="E2275">
        <v>3</v>
      </c>
      <c r="F2275" t="s">
        <v>7150</v>
      </c>
      <c r="G2275" t="s">
        <v>5600</v>
      </c>
      <c r="H2275" t="s">
        <v>8087</v>
      </c>
      <c r="I2275" t="s">
        <v>8088</v>
      </c>
    </row>
    <row r="2276" spans="1:9">
      <c r="A2276" t="str">
        <f>"0031211 "</f>
        <v xml:space="preserve">0031211 </v>
      </c>
      <c r="B2276" t="s">
        <v>5597</v>
      </c>
      <c r="C2276" t="s">
        <v>8089</v>
      </c>
      <c r="D2276" t="s">
        <v>8090</v>
      </c>
      <c r="E2276" t="s">
        <v>20</v>
      </c>
      <c r="F2276" t="s">
        <v>8091</v>
      </c>
      <c r="G2276" t="s">
        <v>5600</v>
      </c>
      <c r="H2276" t="s">
        <v>8092</v>
      </c>
      <c r="I2276" t="s">
        <v>8093</v>
      </c>
    </row>
    <row r="2277" spans="1:9">
      <c r="A2277" t="str">
        <f>"0031213 "</f>
        <v xml:space="preserve">0031213 </v>
      </c>
      <c r="B2277" t="s">
        <v>5597</v>
      </c>
      <c r="C2277" t="s">
        <v>8094</v>
      </c>
      <c r="D2277" t="s">
        <v>8095</v>
      </c>
      <c r="E2277" t="s">
        <v>20</v>
      </c>
      <c r="F2277" t="s">
        <v>8096</v>
      </c>
      <c r="G2277" t="s">
        <v>5600</v>
      </c>
      <c r="H2277" t="s">
        <v>8097</v>
      </c>
      <c r="I2277" t="s">
        <v>8093</v>
      </c>
    </row>
    <row r="2278" spans="1:9">
      <c r="A2278" t="str">
        <f>"0031214 "</f>
        <v xml:space="preserve">0031214 </v>
      </c>
      <c r="B2278" t="s">
        <v>5597</v>
      </c>
      <c r="C2278" t="s">
        <v>8098</v>
      </c>
      <c r="D2278" t="s">
        <v>8099</v>
      </c>
      <c r="E2278">
        <v>1</v>
      </c>
      <c r="F2278" t="s">
        <v>8100</v>
      </c>
      <c r="G2278" t="s">
        <v>5600</v>
      </c>
      <c r="H2278" t="s">
        <v>8101</v>
      </c>
      <c r="I2278" t="s">
        <v>8102</v>
      </c>
    </row>
    <row r="2279" spans="1:9">
      <c r="A2279" t="str">
        <f>"0031215 "</f>
        <v xml:space="preserve">0031215 </v>
      </c>
      <c r="B2279" t="s">
        <v>5597</v>
      </c>
      <c r="C2279" t="s">
        <v>8103</v>
      </c>
      <c r="D2279" t="s">
        <v>8104</v>
      </c>
      <c r="E2279" t="s">
        <v>20</v>
      </c>
      <c r="F2279" t="s">
        <v>8105</v>
      </c>
      <c r="G2279" t="s">
        <v>5600</v>
      </c>
      <c r="H2279" t="s">
        <v>8106</v>
      </c>
      <c r="I2279" t="s">
        <v>8107</v>
      </c>
    </row>
    <row r="2280" spans="1:9">
      <c r="A2280" t="str">
        <f>"0031216 "</f>
        <v xml:space="preserve">0031216 </v>
      </c>
      <c r="B2280" t="s">
        <v>5597</v>
      </c>
      <c r="C2280" t="s">
        <v>8108</v>
      </c>
      <c r="D2280" t="s">
        <v>8109</v>
      </c>
      <c r="E2280">
        <v>4</v>
      </c>
      <c r="F2280" t="s">
        <v>6178</v>
      </c>
      <c r="G2280" t="s">
        <v>5600</v>
      </c>
      <c r="H2280" t="s">
        <v>8110</v>
      </c>
      <c r="I2280" t="s">
        <v>8111</v>
      </c>
    </row>
    <row r="2281" spans="1:9">
      <c r="A2281" t="str">
        <f>"0031218 "</f>
        <v xml:space="preserve">0031218 </v>
      </c>
      <c r="B2281" t="s">
        <v>5597</v>
      </c>
      <c r="C2281" t="s">
        <v>8112</v>
      </c>
      <c r="D2281" t="s">
        <v>8113</v>
      </c>
      <c r="E2281" t="s">
        <v>20</v>
      </c>
      <c r="F2281" t="s">
        <v>8114</v>
      </c>
      <c r="G2281" t="s">
        <v>5600</v>
      </c>
      <c r="H2281" t="s">
        <v>8115</v>
      </c>
      <c r="I2281" t="s">
        <v>8116</v>
      </c>
    </row>
    <row r="2282" spans="1:9">
      <c r="A2282" t="str">
        <f>"0031220 "</f>
        <v xml:space="preserve">0031220 </v>
      </c>
      <c r="B2282" t="s">
        <v>5597</v>
      </c>
      <c r="C2282" t="s">
        <v>8117</v>
      </c>
      <c r="D2282" t="s">
        <v>8118</v>
      </c>
      <c r="E2282">
        <v>3</v>
      </c>
      <c r="F2282" t="s">
        <v>8119</v>
      </c>
      <c r="G2282" t="s">
        <v>5600</v>
      </c>
      <c r="H2282" t="s">
        <v>8120</v>
      </c>
      <c r="I2282" t="s">
        <v>8121</v>
      </c>
    </row>
    <row r="2283" spans="1:9">
      <c r="A2283" t="str">
        <f>"0031221 "</f>
        <v xml:space="preserve">0031221 </v>
      </c>
      <c r="B2283" t="s">
        <v>5597</v>
      </c>
      <c r="C2283" t="s">
        <v>8122</v>
      </c>
      <c r="D2283" t="s">
        <v>8123</v>
      </c>
      <c r="E2283" t="s">
        <v>20</v>
      </c>
      <c r="F2283" t="s">
        <v>8124</v>
      </c>
      <c r="G2283" t="s">
        <v>5600</v>
      </c>
      <c r="H2283" t="s">
        <v>8125</v>
      </c>
      <c r="I2283" t="s">
        <v>8126</v>
      </c>
    </row>
    <row r="2284" spans="1:9">
      <c r="A2284" t="str">
        <f>"0031222 "</f>
        <v xml:space="preserve">0031222 </v>
      </c>
      <c r="B2284" t="s">
        <v>5597</v>
      </c>
      <c r="C2284" t="s">
        <v>8127</v>
      </c>
      <c r="D2284" t="s">
        <v>8128</v>
      </c>
      <c r="E2284">
        <v>1</v>
      </c>
      <c r="F2284" t="s">
        <v>5666</v>
      </c>
      <c r="G2284" t="s">
        <v>5600</v>
      </c>
      <c r="H2284" t="s">
        <v>8129</v>
      </c>
      <c r="I2284" t="s">
        <v>8130</v>
      </c>
    </row>
    <row r="2285" spans="1:9">
      <c r="A2285" t="str">
        <f>"0031223 "</f>
        <v xml:space="preserve">0031223 </v>
      </c>
      <c r="B2285" t="s">
        <v>5597</v>
      </c>
      <c r="C2285" t="s">
        <v>8131</v>
      </c>
      <c r="D2285" t="s">
        <v>8132</v>
      </c>
      <c r="E2285">
        <v>4</v>
      </c>
      <c r="F2285" t="s">
        <v>7477</v>
      </c>
      <c r="G2285" t="s">
        <v>5600</v>
      </c>
      <c r="H2285" t="s">
        <v>8133</v>
      </c>
      <c r="I2285" t="s">
        <v>8134</v>
      </c>
    </row>
    <row r="2286" spans="1:9">
      <c r="A2286" t="str">
        <f>"0031232 "</f>
        <v xml:space="preserve">0031232 </v>
      </c>
      <c r="B2286" t="s">
        <v>5597</v>
      </c>
      <c r="C2286" t="s">
        <v>8135</v>
      </c>
      <c r="D2286" t="s">
        <v>8136</v>
      </c>
      <c r="E2286">
        <v>2</v>
      </c>
      <c r="F2286" t="s">
        <v>7814</v>
      </c>
      <c r="G2286" t="s">
        <v>5600</v>
      </c>
      <c r="H2286" t="s">
        <v>8137</v>
      </c>
      <c r="I2286" t="s">
        <v>8138</v>
      </c>
    </row>
    <row r="2287" spans="1:9">
      <c r="A2287" t="str">
        <f>"0031235 "</f>
        <v xml:space="preserve">0031235 </v>
      </c>
      <c r="B2287" t="s">
        <v>5597</v>
      </c>
      <c r="C2287" t="s">
        <v>8139</v>
      </c>
      <c r="D2287" t="s">
        <v>8140</v>
      </c>
      <c r="E2287">
        <v>3</v>
      </c>
      <c r="F2287" t="s">
        <v>8141</v>
      </c>
      <c r="G2287" t="s">
        <v>5600</v>
      </c>
      <c r="H2287" t="s">
        <v>8142</v>
      </c>
      <c r="I2287" t="s">
        <v>8143</v>
      </c>
    </row>
    <row r="2288" spans="1:9">
      <c r="A2288" t="str">
        <f>"0031239 "</f>
        <v xml:space="preserve">0031239 </v>
      </c>
      <c r="B2288" t="s">
        <v>5597</v>
      </c>
      <c r="C2288" t="s">
        <v>8144</v>
      </c>
      <c r="D2288" t="s">
        <v>8145</v>
      </c>
      <c r="E2288">
        <v>2</v>
      </c>
      <c r="F2288" t="s">
        <v>8146</v>
      </c>
      <c r="G2288" t="s">
        <v>5600</v>
      </c>
      <c r="H2288" t="s">
        <v>8147</v>
      </c>
      <c r="I2288" t="s">
        <v>8148</v>
      </c>
    </row>
    <row r="2289" spans="1:9">
      <c r="A2289" t="str">
        <f>"0031241 "</f>
        <v xml:space="preserve">0031241 </v>
      </c>
      <c r="B2289" t="s">
        <v>5597</v>
      </c>
      <c r="C2289" t="s">
        <v>8149</v>
      </c>
      <c r="D2289" t="s">
        <v>8150</v>
      </c>
      <c r="E2289" t="s">
        <v>20</v>
      </c>
      <c r="F2289" t="s">
        <v>8151</v>
      </c>
      <c r="G2289" t="s">
        <v>5600</v>
      </c>
      <c r="H2289" t="s">
        <v>8152</v>
      </c>
      <c r="I2289" t="s">
        <v>8153</v>
      </c>
    </row>
    <row r="2290" spans="1:9">
      <c r="A2290" t="str">
        <f>"0031248 "</f>
        <v xml:space="preserve">0031248 </v>
      </c>
      <c r="B2290" t="s">
        <v>5597</v>
      </c>
      <c r="C2290" t="s">
        <v>8154</v>
      </c>
      <c r="D2290" t="s">
        <v>8155</v>
      </c>
      <c r="E2290">
        <v>3</v>
      </c>
      <c r="F2290" t="s">
        <v>8156</v>
      </c>
      <c r="G2290" t="s">
        <v>5600</v>
      </c>
      <c r="H2290" t="s">
        <v>8157</v>
      </c>
      <c r="I2290" t="s">
        <v>8158</v>
      </c>
    </row>
    <row r="2291" spans="1:9">
      <c r="A2291" t="str">
        <f>"0031250 "</f>
        <v xml:space="preserve">0031250 </v>
      </c>
      <c r="B2291" t="s">
        <v>5597</v>
      </c>
      <c r="C2291" t="s">
        <v>8159</v>
      </c>
      <c r="D2291" t="s">
        <v>8160</v>
      </c>
      <c r="E2291">
        <v>1</v>
      </c>
      <c r="F2291" t="s">
        <v>8161</v>
      </c>
      <c r="G2291" t="s">
        <v>5600</v>
      </c>
      <c r="H2291" t="s">
        <v>8162</v>
      </c>
      <c r="I2291" t="s">
        <v>8163</v>
      </c>
    </row>
    <row r="2292" spans="1:9">
      <c r="A2292" t="str">
        <f>"0031251 "</f>
        <v xml:space="preserve">0031251 </v>
      </c>
      <c r="B2292" t="s">
        <v>5597</v>
      </c>
      <c r="C2292" t="s">
        <v>8164</v>
      </c>
      <c r="D2292" t="s">
        <v>8165</v>
      </c>
      <c r="E2292">
        <v>1</v>
      </c>
      <c r="F2292" t="s">
        <v>8166</v>
      </c>
      <c r="G2292" t="s">
        <v>5600</v>
      </c>
      <c r="H2292" t="s">
        <v>8167</v>
      </c>
      <c r="I2292" t="s">
        <v>7924</v>
      </c>
    </row>
    <row r="2293" spans="1:9">
      <c r="A2293" t="str">
        <f>"0031252 "</f>
        <v xml:space="preserve">0031252 </v>
      </c>
      <c r="B2293" t="s">
        <v>5597</v>
      </c>
      <c r="C2293" t="s">
        <v>8168</v>
      </c>
      <c r="D2293" t="s">
        <v>8169</v>
      </c>
      <c r="E2293">
        <v>3</v>
      </c>
      <c r="F2293" t="s">
        <v>8170</v>
      </c>
      <c r="G2293" t="s">
        <v>5600</v>
      </c>
      <c r="H2293" t="s">
        <v>8171</v>
      </c>
      <c r="I2293" t="s">
        <v>8172</v>
      </c>
    </row>
    <row r="2294" spans="1:9">
      <c r="A2294" t="str">
        <f>"0031255 "</f>
        <v xml:space="preserve">0031255 </v>
      </c>
      <c r="B2294" t="s">
        <v>5597</v>
      </c>
      <c r="C2294" t="s">
        <v>8173</v>
      </c>
      <c r="D2294" t="s">
        <v>8174</v>
      </c>
      <c r="E2294">
        <v>1</v>
      </c>
      <c r="F2294" t="s">
        <v>5845</v>
      </c>
      <c r="G2294" t="s">
        <v>5600</v>
      </c>
      <c r="H2294" t="s">
        <v>8175</v>
      </c>
      <c r="I2294" t="s">
        <v>8176</v>
      </c>
    </row>
    <row r="2295" spans="1:9">
      <c r="A2295" t="str">
        <f>"0031256 "</f>
        <v xml:space="preserve">0031256 </v>
      </c>
      <c r="B2295" t="s">
        <v>5597</v>
      </c>
      <c r="C2295" t="s">
        <v>8177</v>
      </c>
      <c r="D2295" t="s">
        <v>8178</v>
      </c>
      <c r="E2295">
        <v>3</v>
      </c>
      <c r="F2295" t="s">
        <v>8179</v>
      </c>
      <c r="G2295" t="s">
        <v>5600</v>
      </c>
      <c r="H2295" t="s">
        <v>8180</v>
      </c>
      <c r="I2295" t="s">
        <v>8181</v>
      </c>
    </row>
    <row r="2296" spans="1:9">
      <c r="A2296" t="str">
        <f>"0031257 "</f>
        <v xml:space="preserve">0031257 </v>
      </c>
      <c r="B2296" t="s">
        <v>5597</v>
      </c>
      <c r="C2296" t="s">
        <v>8182</v>
      </c>
      <c r="D2296" t="s">
        <v>8183</v>
      </c>
      <c r="E2296">
        <v>2</v>
      </c>
      <c r="F2296" t="s">
        <v>8184</v>
      </c>
      <c r="G2296" t="s">
        <v>5600</v>
      </c>
      <c r="H2296" t="s">
        <v>8185</v>
      </c>
      <c r="I2296" t="s">
        <v>3756</v>
      </c>
    </row>
    <row r="2297" spans="1:9">
      <c r="A2297" t="str">
        <f>"0031258 "</f>
        <v xml:space="preserve">0031258 </v>
      </c>
      <c r="B2297" t="s">
        <v>5597</v>
      </c>
      <c r="C2297" t="s">
        <v>8186</v>
      </c>
      <c r="D2297" t="s">
        <v>8187</v>
      </c>
      <c r="E2297">
        <v>4</v>
      </c>
      <c r="F2297" t="s">
        <v>8188</v>
      </c>
      <c r="G2297" t="s">
        <v>5600</v>
      </c>
      <c r="H2297" t="s">
        <v>8189</v>
      </c>
      <c r="I2297" t="s">
        <v>8190</v>
      </c>
    </row>
    <row r="2298" spans="1:9">
      <c r="A2298" t="str">
        <f>"0031261 "</f>
        <v xml:space="preserve">0031261 </v>
      </c>
      <c r="B2298" t="s">
        <v>5597</v>
      </c>
      <c r="C2298" t="s">
        <v>8191</v>
      </c>
      <c r="D2298" t="s">
        <v>8192</v>
      </c>
      <c r="E2298">
        <v>2</v>
      </c>
      <c r="F2298" t="s">
        <v>8193</v>
      </c>
      <c r="G2298" t="s">
        <v>5600</v>
      </c>
      <c r="H2298" t="s">
        <v>8194</v>
      </c>
      <c r="I2298" t="s">
        <v>8195</v>
      </c>
    </row>
    <row r="2299" spans="1:9">
      <c r="A2299" t="str">
        <f>"0048801 "</f>
        <v xml:space="preserve">0048801 </v>
      </c>
      <c r="B2299" t="s">
        <v>5597</v>
      </c>
      <c r="C2299" t="s">
        <v>8196</v>
      </c>
      <c r="D2299" t="s">
        <v>8197</v>
      </c>
      <c r="E2299">
        <v>1</v>
      </c>
      <c r="F2299" t="s">
        <v>8198</v>
      </c>
      <c r="G2299" t="s">
        <v>5600</v>
      </c>
      <c r="H2299" t="s">
        <v>8199</v>
      </c>
      <c r="I2299" t="s">
        <v>8200</v>
      </c>
    </row>
    <row r="2300" spans="1:9">
      <c r="A2300" t="str">
        <f>"0031265 "</f>
        <v xml:space="preserve">0031265 </v>
      </c>
      <c r="B2300" t="s">
        <v>5597</v>
      </c>
      <c r="C2300" t="s">
        <v>8201</v>
      </c>
      <c r="D2300" t="s">
        <v>8202</v>
      </c>
      <c r="E2300">
        <v>1</v>
      </c>
      <c r="F2300" t="s">
        <v>8203</v>
      </c>
      <c r="G2300" t="s">
        <v>5600</v>
      </c>
      <c r="H2300" t="s">
        <v>8204</v>
      </c>
      <c r="I2300" t="s">
        <v>5079</v>
      </c>
    </row>
    <row r="2301" spans="1:9">
      <c r="A2301" t="str">
        <f>"0031267 "</f>
        <v xml:space="preserve">0031267 </v>
      </c>
      <c r="B2301" t="s">
        <v>5597</v>
      </c>
      <c r="C2301" t="s">
        <v>8205</v>
      </c>
      <c r="D2301" t="s">
        <v>8206</v>
      </c>
      <c r="E2301" t="s">
        <v>20</v>
      </c>
      <c r="F2301" t="s">
        <v>8207</v>
      </c>
      <c r="G2301" t="s">
        <v>5600</v>
      </c>
      <c r="H2301" t="s">
        <v>8208</v>
      </c>
      <c r="I2301" t="s">
        <v>5036</v>
      </c>
    </row>
    <row r="2302" spans="1:9">
      <c r="A2302" t="str">
        <f>"0031268 "</f>
        <v xml:space="preserve">0031268 </v>
      </c>
      <c r="B2302" t="s">
        <v>5597</v>
      </c>
      <c r="C2302" t="s">
        <v>8209</v>
      </c>
      <c r="D2302" t="s">
        <v>8210</v>
      </c>
      <c r="E2302" t="s">
        <v>20</v>
      </c>
      <c r="F2302" t="s">
        <v>8211</v>
      </c>
      <c r="G2302" t="s">
        <v>5600</v>
      </c>
      <c r="H2302" t="s">
        <v>8212</v>
      </c>
      <c r="I2302" t="s">
        <v>8213</v>
      </c>
    </row>
    <row r="2303" spans="1:9">
      <c r="A2303" t="str">
        <f>"0031270 "</f>
        <v xml:space="preserve">0031270 </v>
      </c>
      <c r="B2303" t="s">
        <v>5597</v>
      </c>
      <c r="C2303" t="s">
        <v>8214</v>
      </c>
      <c r="D2303" t="s">
        <v>8215</v>
      </c>
      <c r="E2303" t="s">
        <v>20</v>
      </c>
      <c r="F2303" t="s">
        <v>8216</v>
      </c>
      <c r="G2303" t="s">
        <v>5600</v>
      </c>
      <c r="H2303" t="s">
        <v>8217</v>
      </c>
      <c r="I2303" t="s">
        <v>8218</v>
      </c>
    </row>
    <row r="2304" spans="1:9">
      <c r="A2304" t="str">
        <f>"0031273 "</f>
        <v xml:space="preserve">0031273 </v>
      </c>
      <c r="B2304" t="s">
        <v>5597</v>
      </c>
      <c r="C2304" t="s">
        <v>8219</v>
      </c>
      <c r="D2304" t="s">
        <v>8220</v>
      </c>
      <c r="E2304">
        <v>1</v>
      </c>
      <c r="F2304" t="s">
        <v>8221</v>
      </c>
      <c r="G2304" t="s">
        <v>5600</v>
      </c>
      <c r="H2304" t="s">
        <v>8222</v>
      </c>
      <c r="I2304" t="s">
        <v>8223</v>
      </c>
    </row>
    <row r="2305" spans="1:9">
      <c r="A2305" t="str">
        <f>"0048783 "</f>
        <v xml:space="preserve">0048783 </v>
      </c>
      <c r="B2305" t="s">
        <v>5597</v>
      </c>
      <c r="C2305" t="s">
        <v>8224</v>
      </c>
      <c r="D2305" t="s">
        <v>8225</v>
      </c>
      <c r="E2305">
        <v>1</v>
      </c>
      <c r="F2305" t="s">
        <v>6760</v>
      </c>
      <c r="G2305" t="s">
        <v>5600</v>
      </c>
      <c r="H2305" t="s">
        <v>8226</v>
      </c>
      <c r="I2305" t="s">
        <v>8227</v>
      </c>
    </row>
    <row r="2306" spans="1:9">
      <c r="A2306" t="str">
        <f>"0031274 "</f>
        <v xml:space="preserve">0031274 </v>
      </c>
      <c r="B2306" t="s">
        <v>5597</v>
      </c>
      <c r="C2306" t="s">
        <v>8228</v>
      </c>
      <c r="D2306" t="s">
        <v>8229</v>
      </c>
      <c r="E2306">
        <v>4</v>
      </c>
      <c r="F2306" t="s">
        <v>6760</v>
      </c>
      <c r="G2306" t="s">
        <v>5600</v>
      </c>
      <c r="H2306" t="s">
        <v>8230</v>
      </c>
      <c r="I2306" t="s">
        <v>8227</v>
      </c>
    </row>
    <row r="2307" spans="1:9">
      <c r="A2307" t="str">
        <f>"0031275 "</f>
        <v xml:space="preserve">0031275 </v>
      </c>
      <c r="B2307" t="s">
        <v>5597</v>
      </c>
      <c r="C2307" t="s">
        <v>8231</v>
      </c>
      <c r="D2307" t="s">
        <v>8232</v>
      </c>
      <c r="E2307">
        <v>2</v>
      </c>
      <c r="F2307" t="s">
        <v>6417</v>
      </c>
      <c r="G2307" t="s">
        <v>5600</v>
      </c>
      <c r="H2307" t="s">
        <v>8233</v>
      </c>
      <c r="I2307" t="s">
        <v>8234</v>
      </c>
    </row>
    <row r="2308" spans="1:9">
      <c r="A2308" t="str">
        <f>"0031276 "</f>
        <v xml:space="preserve">0031276 </v>
      </c>
      <c r="B2308" t="s">
        <v>5597</v>
      </c>
      <c r="C2308" t="s">
        <v>8235</v>
      </c>
      <c r="D2308" t="s">
        <v>8236</v>
      </c>
      <c r="E2308" t="s">
        <v>20</v>
      </c>
      <c r="F2308" t="s">
        <v>7281</v>
      </c>
      <c r="G2308" t="s">
        <v>5600</v>
      </c>
      <c r="H2308" t="s">
        <v>8237</v>
      </c>
      <c r="I2308" t="s">
        <v>8238</v>
      </c>
    </row>
    <row r="2309" spans="1:9">
      <c r="A2309" t="str">
        <f>"0031278 "</f>
        <v xml:space="preserve">0031278 </v>
      </c>
      <c r="B2309" t="s">
        <v>5597</v>
      </c>
      <c r="C2309" t="s">
        <v>8239</v>
      </c>
      <c r="D2309" t="s">
        <v>8240</v>
      </c>
      <c r="E2309">
        <v>1</v>
      </c>
      <c r="F2309" t="s">
        <v>8241</v>
      </c>
      <c r="G2309" t="s">
        <v>5600</v>
      </c>
      <c r="H2309" t="s">
        <v>8242</v>
      </c>
      <c r="I2309" t="s">
        <v>8243</v>
      </c>
    </row>
    <row r="2310" spans="1:9">
      <c r="A2310" t="str">
        <f>"0031279 "</f>
        <v xml:space="preserve">0031279 </v>
      </c>
      <c r="B2310" t="s">
        <v>5597</v>
      </c>
      <c r="C2310" t="s">
        <v>8244</v>
      </c>
      <c r="D2310" t="s">
        <v>8245</v>
      </c>
      <c r="E2310" t="s">
        <v>20</v>
      </c>
      <c r="F2310" t="s">
        <v>5780</v>
      </c>
      <c r="G2310" t="s">
        <v>5600</v>
      </c>
      <c r="H2310" t="s">
        <v>8246</v>
      </c>
      <c r="I2310" t="s">
        <v>1272</v>
      </c>
    </row>
    <row r="2311" spans="1:9">
      <c r="A2311" t="str">
        <f>"0031283 "</f>
        <v xml:space="preserve">0031283 </v>
      </c>
      <c r="B2311" t="s">
        <v>5597</v>
      </c>
      <c r="C2311" t="s">
        <v>8247</v>
      </c>
      <c r="D2311" t="s">
        <v>8248</v>
      </c>
      <c r="E2311">
        <v>2</v>
      </c>
      <c r="F2311" t="s">
        <v>8141</v>
      </c>
      <c r="G2311" t="s">
        <v>5600</v>
      </c>
      <c r="H2311" t="s">
        <v>8249</v>
      </c>
      <c r="I2311" t="s">
        <v>1140</v>
      </c>
    </row>
    <row r="2312" spans="1:9">
      <c r="A2312" t="str">
        <f>"0031284 "</f>
        <v xml:space="preserve">0031284 </v>
      </c>
      <c r="B2312" t="s">
        <v>5597</v>
      </c>
      <c r="C2312" t="s">
        <v>8250</v>
      </c>
      <c r="D2312" t="s">
        <v>8251</v>
      </c>
      <c r="E2312">
        <v>2</v>
      </c>
      <c r="F2312" t="s">
        <v>8252</v>
      </c>
      <c r="G2312" t="s">
        <v>5600</v>
      </c>
      <c r="H2312" t="s">
        <v>8253</v>
      </c>
      <c r="I2312" t="s">
        <v>8254</v>
      </c>
    </row>
    <row r="2313" spans="1:9">
      <c r="A2313" t="str">
        <f>"0031285 "</f>
        <v xml:space="preserve">0031285 </v>
      </c>
      <c r="B2313" t="s">
        <v>5597</v>
      </c>
      <c r="C2313" t="s">
        <v>8255</v>
      </c>
      <c r="D2313" t="s">
        <v>8256</v>
      </c>
      <c r="E2313">
        <v>4</v>
      </c>
      <c r="F2313" t="s">
        <v>8257</v>
      </c>
      <c r="G2313" t="s">
        <v>5600</v>
      </c>
      <c r="H2313" t="s">
        <v>8258</v>
      </c>
      <c r="I2313" t="s">
        <v>8259</v>
      </c>
    </row>
    <row r="2314" spans="1:9">
      <c r="A2314" t="str">
        <f>"0031287 "</f>
        <v xml:space="preserve">0031287 </v>
      </c>
      <c r="B2314" t="s">
        <v>5597</v>
      </c>
      <c r="C2314" t="s">
        <v>8260</v>
      </c>
      <c r="D2314" t="s">
        <v>8261</v>
      </c>
      <c r="E2314" t="s">
        <v>20</v>
      </c>
      <c r="F2314" t="s">
        <v>8124</v>
      </c>
      <c r="G2314" t="s">
        <v>5600</v>
      </c>
      <c r="H2314" t="s">
        <v>8262</v>
      </c>
      <c r="I2314" t="s">
        <v>8263</v>
      </c>
    </row>
    <row r="2315" spans="1:9">
      <c r="A2315" t="str">
        <f>"0031288 "</f>
        <v xml:space="preserve">0031288 </v>
      </c>
      <c r="B2315" t="s">
        <v>5597</v>
      </c>
      <c r="C2315" t="s">
        <v>8264</v>
      </c>
      <c r="D2315" t="s">
        <v>8265</v>
      </c>
      <c r="E2315">
        <v>2</v>
      </c>
      <c r="F2315" t="s">
        <v>8241</v>
      </c>
      <c r="G2315" t="s">
        <v>5600</v>
      </c>
      <c r="H2315" t="s">
        <v>8266</v>
      </c>
      <c r="I2315" t="s">
        <v>8267</v>
      </c>
    </row>
    <row r="2316" spans="1:9">
      <c r="A2316" t="str">
        <f>"0161235 "</f>
        <v xml:space="preserve">0161235 </v>
      </c>
      <c r="B2316" t="s">
        <v>5597</v>
      </c>
      <c r="C2316" t="s">
        <v>8268</v>
      </c>
      <c r="D2316" t="s">
        <v>8269</v>
      </c>
      <c r="E2316">
        <v>1</v>
      </c>
      <c r="F2316" t="s">
        <v>8270</v>
      </c>
      <c r="G2316" t="s">
        <v>5600</v>
      </c>
      <c r="H2316" t="s">
        <v>8271</v>
      </c>
      <c r="I2316" t="s">
        <v>8272</v>
      </c>
    </row>
    <row r="2317" spans="1:9">
      <c r="A2317" t="str">
        <f>"0031289 "</f>
        <v xml:space="preserve">0031289 </v>
      </c>
      <c r="B2317" t="s">
        <v>5597</v>
      </c>
      <c r="C2317" t="s">
        <v>8273</v>
      </c>
      <c r="D2317" t="s">
        <v>8274</v>
      </c>
      <c r="E2317" t="s">
        <v>20</v>
      </c>
      <c r="F2317" t="s">
        <v>8275</v>
      </c>
      <c r="G2317" t="s">
        <v>5600</v>
      </c>
      <c r="H2317" t="s">
        <v>8276</v>
      </c>
      <c r="I2317" t="s">
        <v>8277</v>
      </c>
    </row>
    <row r="2318" spans="1:9">
      <c r="A2318" t="str">
        <f>"0031290 "</f>
        <v xml:space="preserve">0031290 </v>
      </c>
      <c r="B2318" t="s">
        <v>5597</v>
      </c>
      <c r="C2318" t="s">
        <v>8278</v>
      </c>
      <c r="D2318" t="s">
        <v>8279</v>
      </c>
      <c r="E2318">
        <v>3</v>
      </c>
      <c r="F2318" t="s">
        <v>8280</v>
      </c>
      <c r="G2318" t="s">
        <v>5600</v>
      </c>
      <c r="H2318" t="s">
        <v>8281</v>
      </c>
      <c r="I2318" t="s">
        <v>8282</v>
      </c>
    </row>
    <row r="2319" spans="1:9">
      <c r="A2319" t="str">
        <f>"0031292 "</f>
        <v xml:space="preserve">0031292 </v>
      </c>
      <c r="B2319" t="s">
        <v>5597</v>
      </c>
      <c r="C2319" t="s">
        <v>8283</v>
      </c>
      <c r="D2319" t="s">
        <v>8284</v>
      </c>
      <c r="E2319">
        <v>1</v>
      </c>
      <c r="F2319" t="s">
        <v>8285</v>
      </c>
      <c r="G2319" t="s">
        <v>5600</v>
      </c>
      <c r="H2319" t="s">
        <v>8286</v>
      </c>
      <c r="I2319" t="s">
        <v>8287</v>
      </c>
    </row>
    <row r="2320" spans="1:9">
      <c r="A2320" t="str">
        <f>"0031294 "</f>
        <v xml:space="preserve">0031294 </v>
      </c>
      <c r="B2320" t="s">
        <v>5597</v>
      </c>
      <c r="C2320" t="s">
        <v>8288</v>
      </c>
      <c r="D2320" t="s">
        <v>8289</v>
      </c>
      <c r="E2320">
        <v>2</v>
      </c>
      <c r="F2320" t="s">
        <v>1504</v>
      </c>
      <c r="G2320" t="s">
        <v>5600</v>
      </c>
      <c r="H2320" t="s">
        <v>8290</v>
      </c>
      <c r="I2320" t="s">
        <v>8291</v>
      </c>
    </row>
    <row r="2321" spans="1:9">
      <c r="A2321" t="str">
        <f>"0031296 "</f>
        <v xml:space="preserve">0031296 </v>
      </c>
      <c r="B2321" t="s">
        <v>5597</v>
      </c>
      <c r="C2321" t="s">
        <v>8292</v>
      </c>
      <c r="D2321" t="s">
        <v>8293</v>
      </c>
      <c r="E2321" t="s">
        <v>20</v>
      </c>
      <c r="F2321" t="s">
        <v>8294</v>
      </c>
      <c r="G2321" t="s">
        <v>5600</v>
      </c>
      <c r="H2321" t="s">
        <v>8295</v>
      </c>
      <c r="I2321" t="s">
        <v>8148</v>
      </c>
    </row>
    <row r="2322" spans="1:9">
      <c r="A2322" t="str">
        <f>"0031297 "</f>
        <v xml:space="preserve">0031297 </v>
      </c>
      <c r="B2322" t="s">
        <v>5597</v>
      </c>
      <c r="C2322" t="s">
        <v>8296</v>
      </c>
      <c r="D2322" t="s">
        <v>8297</v>
      </c>
      <c r="E2322">
        <v>1</v>
      </c>
      <c r="F2322" t="s">
        <v>6426</v>
      </c>
      <c r="G2322" t="s">
        <v>5600</v>
      </c>
      <c r="H2322" t="s">
        <v>8298</v>
      </c>
      <c r="I2322" t="s">
        <v>8299</v>
      </c>
    </row>
    <row r="2323" spans="1:9">
      <c r="A2323" t="str">
        <f>"0031298 "</f>
        <v xml:space="preserve">0031298 </v>
      </c>
      <c r="B2323" t="s">
        <v>5597</v>
      </c>
      <c r="C2323" t="s">
        <v>8300</v>
      </c>
      <c r="D2323" t="s">
        <v>8301</v>
      </c>
      <c r="E2323">
        <v>1</v>
      </c>
      <c r="F2323" t="s">
        <v>8302</v>
      </c>
      <c r="G2323" t="s">
        <v>5600</v>
      </c>
      <c r="H2323" t="s">
        <v>8303</v>
      </c>
      <c r="I2323" t="s">
        <v>8304</v>
      </c>
    </row>
    <row r="2324" spans="1:9">
      <c r="A2324" t="str">
        <f>"0031299 "</f>
        <v xml:space="preserve">0031299 </v>
      </c>
      <c r="B2324" t="s">
        <v>5597</v>
      </c>
      <c r="C2324" t="s">
        <v>8305</v>
      </c>
      <c r="D2324" t="s">
        <v>8306</v>
      </c>
      <c r="E2324" t="s">
        <v>20</v>
      </c>
      <c r="F2324" t="s">
        <v>8307</v>
      </c>
      <c r="G2324" t="s">
        <v>5600</v>
      </c>
      <c r="H2324" t="s">
        <v>8308</v>
      </c>
      <c r="I2324" t="s">
        <v>8309</v>
      </c>
    </row>
    <row r="2325" spans="1:9">
      <c r="A2325" t="str">
        <f>"0031300 "</f>
        <v xml:space="preserve">0031300 </v>
      </c>
      <c r="B2325" t="s">
        <v>5597</v>
      </c>
      <c r="C2325" t="s">
        <v>8310</v>
      </c>
      <c r="D2325" t="s">
        <v>8311</v>
      </c>
      <c r="E2325">
        <v>3</v>
      </c>
      <c r="F2325" t="s">
        <v>8312</v>
      </c>
      <c r="G2325" t="s">
        <v>5600</v>
      </c>
      <c r="H2325" t="s">
        <v>8313</v>
      </c>
      <c r="I2325" t="s">
        <v>8314</v>
      </c>
    </row>
    <row r="2326" spans="1:9">
      <c r="A2326" t="str">
        <f>"0031301 "</f>
        <v xml:space="preserve">0031301 </v>
      </c>
      <c r="B2326" t="s">
        <v>5597</v>
      </c>
      <c r="C2326" t="s">
        <v>8315</v>
      </c>
      <c r="D2326" t="s">
        <v>8316</v>
      </c>
      <c r="E2326">
        <v>4</v>
      </c>
      <c r="F2326" t="s">
        <v>8317</v>
      </c>
      <c r="G2326" t="s">
        <v>5600</v>
      </c>
      <c r="H2326" t="s">
        <v>8318</v>
      </c>
      <c r="I2326" t="s">
        <v>8319</v>
      </c>
    </row>
    <row r="2327" spans="1:9">
      <c r="A2327" t="str">
        <f>"0031304 "</f>
        <v xml:space="preserve">0031304 </v>
      </c>
      <c r="B2327" t="s">
        <v>5597</v>
      </c>
      <c r="C2327" t="s">
        <v>8320</v>
      </c>
      <c r="D2327" t="s">
        <v>8321</v>
      </c>
      <c r="E2327">
        <v>4</v>
      </c>
      <c r="F2327" t="s">
        <v>6005</v>
      </c>
      <c r="G2327" t="s">
        <v>5600</v>
      </c>
      <c r="H2327" t="s">
        <v>8322</v>
      </c>
      <c r="I2327" t="s">
        <v>8323</v>
      </c>
    </row>
    <row r="2328" spans="1:9">
      <c r="A2328" t="str">
        <f>"0031305 "</f>
        <v xml:space="preserve">0031305 </v>
      </c>
      <c r="B2328" t="s">
        <v>5597</v>
      </c>
      <c r="C2328" t="s">
        <v>8324</v>
      </c>
      <c r="D2328" t="s">
        <v>8325</v>
      </c>
      <c r="E2328">
        <v>2</v>
      </c>
      <c r="F2328" t="s">
        <v>8326</v>
      </c>
      <c r="G2328" t="s">
        <v>5600</v>
      </c>
      <c r="H2328" t="s">
        <v>8327</v>
      </c>
      <c r="I2328" t="s">
        <v>8328</v>
      </c>
    </row>
    <row r="2329" spans="1:9">
      <c r="A2329" t="str">
        <f>"0031306 "</f>
        <v xml:space="preserve">0031306 </v>
      </c>
      <c r="B2329" t="s">
        <v>5597</v>
      </c>
      <c r="C2329" t="s">
        <v>8329</v>
      </c>
      <c r="D2329" t="s">
        <v>8330</v>
      </c>
      <c r="E2329">
        <v>4</v>
      </c>
      <c r="F2329" t="s">
        <v>8331</v>
      </c>
      <c r="G2329" t="s">
        <v>5600</v>
      </c>
      <c r="H2329" t="s">
        <v>8332</v>
      </c>
      <c r="I2329" t="s">
        <v>8333</v>
      </c>
    </row>
    <row r="2330" spans="1:9">
      <c r="A2330" t="str">
        <f>"0031307 "</f>
        <v xml:space="preserve">0031307 </v>
      </c>
      <c r="B2330" t="s">
        <v>5597</v>
      </c>
      <c r="C2330" t="s">
        <v>8334</v>
      </c>
      <c r="D2330" t="s">
        <v>8335</v>
      </c>
      <c r="E2330" t="s">
        <v>20</v>
      </c>
      <c r="F2330" t="s">
        <v>5780</v>
      </c>
      <c r="G2330" t="s">
        <v>5600</v>
      </c>
      <c r="H2330" t="s">
        <v>8336</v>
      </c>
      <c r="I2330" t="s">
        <v>8337</v>
      </c>
    </row>
    <row r="2331" spans="1:9">
      <c r="A2331" t="str">
        <f>"0202092 "</f>
        <v xml:space="preserve">0202092 </v>
      </c>
      <c r="B2331" t="s">
        <v>5597</v>
      </c>
      <c r="C2331" t="s">
        <v>8338</v>
      </c>
      <c r="D2331" t="s">
        <v>8339</v>
      </c>
      <c r="E2331">
        <v>1</v>
      </c>
      <c r="F2331" t="s">
        <v>3024</v>
      </c>
      <c r="G2331" t="s">
        <v>5600</v>
      </c>
      <c r="H2331" t="s">
        <v>8340</v>
      </c>
      <c r="I2331" t="s">
        <v>8341</v>
      </c>
    </row>
    <row r="2332" spans="1:9">
      <c r="A2332" t="str">
        <f>"0031308 "</f>
        <v xml:space="preserve">0031308 </v>
      </c>
      <c r="B2332" t="s">
        <v>5597</v>
      </c>
      <c r="C2332" t="s">
        <v>8342</v>
      </c>
      <c r="D2332" t="s">
        <v>8343</v>
      </c>
      <c r="E2332" t="s">
        <v>20</v>
      </c>
      <c r="F2332" t="s">
        <v>8344</v>
      </c>
      <c r="G2332" t="s">
        <v>5600</v>
      </c>
      <c r="H2332" t="s">
        <v>8345</v>
      </c>
      <c r="I2332" t="s">
        <v>8333</v>
      </c>
    </row>
    <row r="2333" spans="1:9">
      <c r="A2333" t="str">
        <f>"0031310 "</f>
        <v xml:space="preserve">0031310 </v>
      </c>
      <c r="B2333" t="s">
        <v>5597</v>
      </c>
      <c r="C2333" t="s">
        <v>8346</v>
      </c>
      <c r="D2333" t="s">
        <v>8347</v>
      </c>
      <c r="E2333" t="s">
        <v>20</v>
      </c>
      <c r="F2333" t="s">
        <v>8348</v>
      </c>
      <c r="G2333" t="s">
        <v>5600</v>
      </c>
      <c r="H2333" t="s">
        <v>8349</v>
      </c>
      <c r="I2333" t="s">
        <v>8350</v>
      </c>
    </row>
    <row r="2334" spans="1:9">
      <c r="A2334" t="str">
        <f>"0031314 "</f>
        <v xml:space="preserve">0031314 </v>
      </c>
      <c r="B2334" t="s">
        <v>5597</v>
      </c>
      <c r="C2334" t="s">
        <v>8351</v>
      </c>
      <c r="D2334" t="s">
        <v>8352</v>
      </c>
      <c r="E2334">
        <v>3</v>
      </c>
      <c r="F2334" t="s">
        <v>6460</v>
      </c>
      <c r="G2334" t="s">
        <v>5600</v>
      </c>
      <c r="H2334" t="s">
        <v>8353</v>
      </c>
      <c r="I2334" t="s">
        <v>8354</v>
      </c>
    </row>
    <row r="2335" spans="1:9">
      <c r="A2335" t="str">
        <f>"0031316 "</f>
        <v xml:space="preserve">0031316 </v>
      </c>
      <c r="B2335" t="s">
        <v>5597</v>
      </c>
      <c r="C2335" t="s">
        <v>8355</v>
      </c>
      <c r="D2335" t="s">
        <v>8356</v>
      </c>
      <c r="E2335">
        <v>1</v>
      </c>
      <c r="F2335" t="s">
        <v>6290</v>
      </c>
      <c r="G2335" t="s">
        <v>5600</v>
      </c>
      <c r="H2335" t="s">
        <v>8357</v>
      </c>
      <c r="I2335" t="s">
        <v>8358</v>
      </c>
    </row>
    <row r="2336" spans="1:9">
      <c r="A2336" t="str">
        <f>"0031317 "</f>
        <v xml:space="preserve">0031317 </v>
      </c>
      <c r="B2336" t="s">
        <v>5597</v>
      </c>
      <c r="C2336" t="s">
        <v>8359</v>
      </c>
      <c r="D2336" t="s">
        <v>8360</v>
      </c>
      <c r="E2336">
        <v>2</v>
      </c>
      <c r="F2336" t="s">
        <v>6096</v>
      </c>
      <c r="G2336" t="s">
        <v>5600</v>
      </c>
      <c r="H2336" t="s">
        <v>8361</v>
      </c>
      <c r="I2336" t="s">
        <v>8362</v>
      </c>
    </row>
    <row r="2337" spans="1:9">
      <c r="A2337" t="str">
        <f>"0031318 "</f>
        <v xml:space="preserve">0031318 </v>
      </c>
      <c r="B2337" t="s">
        <v>5597</v>
      </c>
      <c r="C2337" t="s">
        <v>8363</v>
      </c>
      <c r="D2337" t="s">
        <v>8364</v>
      </c>
      <c r="E2337">
        <v>2</v>
      </c>
      <c r="F2337" t="s">
        <v>330</v>
      </c>
      <c r="G2337" t="s">
        <v>5600</v>
      </c>
      <c r="H2337" t="s">
        <v>8365</v>
      </c>
      <c r="I2337" t="s">
        <v>8366</v>
      </c>
    </row>
    <row r="2338" spans="1:9">
      <c r="A2338" t="str">
        <f>"0031321 "</f>
        <v xml:space="preserve">0031321 </v>
      </c>
      <c r="B2338" t="s">
        <v>5597</v>
      </c>
      <c r="C2338" t="s">
        <v>8367</v>
      </c>
      <c r="D2338" t="s">
        <v>8368</v>
      </c>
      <c r="E2338">
        <v>3</v>
      </c>
      <c r="F2338" t="s">
        <v>8369</v>
      </c>
      <c r="G2338" t="s">
        <v>5600</v>
      </c>
      <c r="H2338" t="s">
        <v>8370</v>
      </c>
      <c r="I2338" t="s">
        <v>5130</v>
      </c>
    </row>
    <row r="2339" spans="1:9">
      <c r="A2339" t="str">
        <f>"0031322 "</f>
        <v xml:space="preserve">0031322 </v>
      </c>
      <c r="B2339" t="s">
        <v>5597</v>
      </c>
      <c r="C2339" t="s">
        <v>8371</v>
      </c>
      <c r="D2339" t="s">
        <v>8372</v>
      </c>
      <c r="E2339">
        <v>1</v>
      </c>
      <c r="F2339" t="s">
        <v>7184</v>
      </c>
      <c r="G2339" t="s">
        <v>5600</v>
      </c>
      <c r="H2339" t="s">
        <v>8373</v>
      </c>
      <c r="I2339" t="s">
        <v>8374</v>
      </c>
    </row>
    <row r="2340" spans="1:9">
      <c r="A2340" t="str">
        <f>"0031328 "</f>
        <v xml:space="preserve">0031328 </v>
      </c>
      <c r="B2340" t="s">
        <v>5597</v>
      </c>
      <c r="C2340" t="s">
        <v>8375</v>
      </c>
      <c r="D2340" t="s">
        <v>8376</v>
      </c>
      <c r="E2340" t="s">
        <v>20</v>
      </c>
      <c r="F2340" t="s">
        <v>8377</v>
      </c>
      <c r="G2340" t="s">
        <v>5600</v>
      </c>
      <c r="H2340" t="s">
        <v>8378</v>
      </c>
      <c r="I2340" t="s">
        <v>3245</v>
      </c>
    </row>
    <row r="2341" spans="1:9">
      <c r="A2341" t="str">
        <f>"0031329 "</f>
        <v xml:space="preserve">0031329 </v>
      </c>
      <c r="B2341" t="s">
        <v>5597</v>
      </c>
      <c r="C2341" t="s">
        <v>8379</v>
      </c>
      <c r="D2341" t="s">
        <v>8380</v>
      </c>
      <c r="E2341">
        <v>2</v>
      </c>
      <c r="F2341" t="s">
        <v>8381</v>
      </c>
      <c r="G2341" t="s">
        <v>5600</v>
      </c>
      <c r="H2341" t="s">
        <v>8382</v>
      </c>
      <c r="I2341" t="s">
        <v>8383</v>
      </c>
    </row>
    <row r="2342" spans="1:9">
      <c r="A2342" t="str">
        <f>"0031330 "</f>
        <v xml:space="preserve">0031330 </v>
      </c>
      <c r="B2342" t="s">
        <v>5597</v>
      </c>
      <c r="C2342" t="s">
        <v>8384</v>
      </c>
      <c r="D2342" t="s">
        <v>8385</v>
      </c>
      <c r="E2342">
        <v>4</v>
      </c>
      <c r="F2342" t="s">
        <v>5827</v>
      </c>
      <c r="G2342" t="s">
        <v>5600</v>
      </c>
      <c r="H2342" t="s">
        <v>8386</v>
      </c>
      <c r="I2342" t="s">
        <v>8387</v>
      </c>
    </row>
    <row r="2343" spans="1:9">
      <c r="A2343" t="str">
        <f>"0031331 "</f>
        <v xml:space="preserve">0031331 </v>
      </c>
      <c r="B2343" t="s">
        <v>5597</v>
      </c>
      <c r="C2343" t="s">
        <v>8388</v>
      </c>
      <c r="D2343" t="s">
        <v>8389</v>
      </c>
      <c r="E2343">
        <v>1</v>
      </c>
      <c r="F2343" t="s">
        <v>6556</v>
      </c>
      <c r="G2343" t="s">
        <v>5600</v>
      </c>
      <c r="H2343" t="s">
        <v>8390</v>
      </c>
      <c r="I2343" t="s">
        <v>1209</v>
      </c>
    </row>
    <row r="2344" spans="1:9">
      <c r="A2344" t="str">
        <f>"0031332 "</f>
        <v xml:space="preserve">0031332 </v>
      </c>
      <c r="B2344" t="s">
        <v>5597</v>
      </c>
      <c r="C2344" t="s">
        <v>8391</v>
      </c>
      <c r="D2344" t="s">
        <v>8392</v>
      </c>
      <c r="E2344" t="s">
        <v>20</v>
      </c>
      <c r="F2344" t="s">
        <v>7140</v>
      </c>
      <c r="G2344" t="s">
        <v>5600</v>
      </c>
      <c r="H2344" t="s">
        <v>8393</v>
      </c>
      <c r="I2344" t="s">
        <v>8394</v>
      </c>
    </row>
    <row r="2345" spans="1:9">
      <c r="A2345" t="str">
        <f>"0031333 "</f>
        <v xml:space="preserve">0031333 </v>
      </c>
      <c r="B2345" t="s">
        <v>5597</v>
      </c>
      <c r="C2345" t="s">
        <v>8395</v>
      </c>
      <c r="D2345" t="s">
        <v>8396</v>
      </c>
      <c r="E2345">
        <v>1</v>
      </c>
      <c r="F2345" t="s">
        <v>8397</v>
      </c>
      <c r="G2345" t="s">
        <v>5600</v>
      </c>
      <c r="H2345" t="s">
        <v>8398</v>
      </c>
      <c r="I2345" t="s">
        <v>8399</v>
      </c>
    </row>
    <row r="2346" spans="1:9">
      <c r="A2346" t="str">
        <f>"0031334 "</f>
        <v xml:space="preserve">0031334 </v>
      </c>
      <c r="B2346" t="s">
        <v>5597</v>
      </c>
      <c r="C2346" t="s">
        <v>8400</v>
      </c>
      <c r="D2346" t="s">
        <v>8401</v>
      </c>
      <c r="E2346">
        <v>2</v>
      </c>
      <c r="F2346" t="s">
        <v>1574</v>
      </c>
      <c r="G2346" t="s">
        <v>5600</v>
      </c>
      <c r="H2346" t="s">
        <v>8402</v>
      </c>
      <c r="I2346" t="s">
        <v>3308</v>
      </c>
    </row>
    <row r="2347" spans="1:9">
      <c r="A2347" t="str">
        <f>"0031335 "</f>
        <v xml:space="preserve">0031335 </v>
      </c>
      <c r="B2347" t="s">
        <v>5597</v>
      </c>
      <c r="C2347" t="s">
        <v>8403</v>
      </c>
      <c r="D2347" t="s">
        <v>8404</v>
      </c>
      <c r="E2347">
        <v>2</v>
      </c>
      <c r="F2347" t="s">
        <v>8405</v>
      </c>
      <c r="G2347" t="s">
        <v>5600</v>
      </c>
      <c r="H2347" t="s">
        <v>8406</v>
      </c>
      <c r="I2347" t="s">
        <v>8407</v>
      </c>
    </row>
    <row r="2348" spans="1:9">
      <c r="A2348" t="str">
        <f>"0031337 "</f>
        <v xml:space="preserve">0031337 </v>
      </c>
      <c r="B2348" t="s">
        <v>5597</v>
      </c>
      <c r="C2348" t="s">
        <v>8408</v>
      </c>
      <c r="D2348" t="s">
        <v>8409</v>
      </c>
      <c r="E2348" t="s">
        <v>20</v>
      </c>
      <c r="F2348" t="s">
        <v>8410</v>
      </c>
      <c r="G2348" t="s">
        <v>5600</v>
      </c>
      <c r="H2348" t="s">
        <v>8411</v>
      </c>
      <c r="I2348" t="s">
        <v>8263</v>
      </c>
    </row>
    <row r="2349" spans="1:9">
      <c r="A2349" t="str">
        <f>"0038197 "</f>
        <v xml:space="preserve">0038197 </v>
      </c>
      <c r="B2349" t="s">
        <v>5597</v>
      </c>
      <c r="C2349" t="s">
        <v>8412</v>
      </c>
      <c r="D2349" t="s">
        <v>8413</v>
      </c>
      <c r="E2349">
        <v>2</v>
      </c>
      <c r="F2349" t="s">
        <v>8414</v>
      </c>
      <c r="G2349" t="s">
        <v>5600</v>
      </c>
      <c r="H2349" t="s">
        <v>8415</v>
      </c>
      <c r="I2349" t="s">
        <v>8416</v>
      </c>
    </row>
    <row r="2350" spans="1:9">
      <c r="A2350" t="str">
        <f>"0116727 "</f>
        <v xml:space="preserve">0116727 </v>
      </c>
      <c r="B2350" t="s">
        <v>5597</v>
      </c>
      <c r="C2350" t="s">
        <v>8417</v>
      </c>
      <c r="D2350" t="s">
        <v>8418</v>
      </c>
      <c r="E2350">
        <v>3</v>
      </c>
      <c r="F2350" t="s">
        <v>7639</v>
      </c>
      <c r="G2350" t="s">
        <v>5600</v>
      </c>
      <c r="H2350" t="s">
        <v>8419</v>
      </c>
      <c r="I2350" t="s">
        <v>8420</v>
      </c>
    </row>
    <row r="2351" spans="1:9">
      <c r="A2351" t="str">
        <f>"0031338 "</f>
        <v xml:space="preserve">0031338 </v>
      </c>
      <c r="B2351" t="s">
        <v>5597</v>
      </c>
      <c r="C2351" t="s">
        <v>8421</v>
      </c>
      <c r="D2351" t="s">
        <v>8422</v>
      </c>
      <c r="E2351">
        <v>1</v>
      </c>
      <c r="F2351" t="s">
        <v>7349</v>
      </c>
      <c r="G2351" t="s">
        <v>5600</v>
      </c>
      <c r="H2351" t="s">
        <v>8423</v>
      </c>
      <c r="I2351" t="s">
        <v>8424</v>
      </c>
    </row>
    <row r="2352" spans="1:9">
      <c r="A2352" t="str">
        <f>"0031339 "</f>
        <v xml:space="preserve">0031339 </v>
      </c>
      <c r="B2352" t="s">
        <v>5597</v>
      </c>
      <c r="C2352" t="s">
        <v>8425</v>
      </c>
      <c r="D2352" t="s">
        <v>8426</v>
      </c>
      <c r="E2352">
        <v>3</v>
      </c>
      <c r="F2352" t="s">
        <v>6556</v>
      </c>
      <c r="G2352" t="s">
        <v>5600</v>
      </c>
      <c r="H2352" t="s">
        <v>8427</v>
      </c>
      <c r="I2352" t="s">
        <v>8428</v>
      </c>
    </row>
    <row r="2353" spans="1:9">
      <c r="A2353" t="str">
        <f>"0031341 "</f>
        <v xml:space="preserve">0031341 </v>
      </c>
      <c r="B2353" t="s">
        <v>5597</v>
      </c>
      <c r="C2353" t="s">
        <v>8429</v>
      </c>
      <c r="D2353" t="s">
        <v>8430</v>
      </c>
      <c r="E2353" t="s">
        <v>20</v>
      </c>
      <c r="F2353" t="s">
        <v>7965</v>
      </c>
      <c r="G2353" t="s">
        <v>5600</v>
      </c>
      <c r="H2353" t="s">
        <v>8431</v>
      </c>
      <c r="I2353" t="s">
        <v>8432</v>
      </c>
    </row>
    <row r="2354" spans="1:9">
      <c r="A2354" t="str">
        <f>"0031342 "</f>
        <v xml:space="preserve">0031342 </v>
      </c>
      <c r="B2354" t="s">
        <v>5597</v>
      </c>
      <c r="C2354" t="s">
        <v>8433</v>
      </c>
      <c r="D2354" t="s">
        <v>8434</v>
      </c>
      <c r="E2354" t="s">
        <v>20</v>
      </c>
      <c r="F2354" t="s">
        <v>2709</v>
      </c>
      <c r="G2354" t="s">
        <v>5600</v>
      </c>
      <c r="H2354" t="s">
        <v>8435</v>
      </c>
      <c r="I2354" t="s">
        <v>8436</v>
      </c>
    </row>
    <row r="2355" spans="1:9">
      <c r="A2355" t="str">
        <f>"0031343 "</f>
        <v xml:space="preserve">0031343 </v>
      </c>
      <c r="B2355" t="s">
        <v>5597</v>
      </c>
      <c r="C2355" t="s">
        <v>8437</v>
      </c>
      <c r="D2355" t="s">
        <v>8438</v>
      </c>
      <c r="E2355">
        <v>1</v>
      </c>
      <c r="F2355" t="s">
        <v>8439</v>
      </c>
      <c r="G2355" t="s">
        <v>5600</v>
      </c>
      <c r="H2355" t="s">
        <v>8440</v>
      </c>
      <c r="I2355" t="s">
        <v>8441</v>
      </c>
    </row>
    <row r="2356" spans="1:9">
      <c r="A2356" t="str">
        <f>"0202096 "</f>
        <v xml:space="preserve">0202096 </v>
      </c>
      <c r="B2356" t="s">
        <v>5597</v>
      </c>
      <c r="C2356" t="s">
        <v>8442</v>
      </c>
      <c r="D2356" t="s">
        <v>8443</v>
      </c>
      <c r="E2356">
        <v>1</v>
      </c>
      <c r="F2356" t="s">
        <v>5604</v>
      </c>
      <c r="G2356" t="s">
        <v>5600</v>
      </c>
      <c r="H2356" t="s">
        <v>8444</v>
      </c>
      <c r="I2356" t="s">
        <v>8445</v>
      </c>
    </row>
    <row r="2357" spans="1:9">
      <c r="A2357" t="str">
        <f>"0031345 "</f>
        <v xml:space="preserve">0031345 </v>
      </c>
      <c r="B2357" t="s">
        <v>5597</v>
      </c>
      <c r="C2357" t="s">
        <v>8446</v>
      </c>
      <c r="D2357" t="s">
        <v>8447</v>
      </c>
      <c r="E2357">
        <v>2</v>
      </c>
      <c r="F2357" t="s">
        <v>6872</v>
      </c>
      <c r="G2357" t="s">
        <v>5600</v>
      </c>
      <c r="H2357" t="s">
        <v>8448</v>
      </c>
      <c r="I2357" t="s">
        <v>8449</v>
      </c>
    </row>
    <row r="2358" spans="1:9">
      <c r="A2358" t="str">
        <f>"0031346 "</f>
        <v xml:space="preserve">0031346 </v>
      </c>
      <c r="B2358" t="s">
        <v>5597</v>
      </c>
      <c r="C2358" t="s">
        <v>8450</v>
      </c>
      <c r="D2358" t="s">
        <v>8451</v>
      </c>
      <c r="E2358">
        <v>4</v>
      </c>
      <c r="F2358" t="s">
        <v>5727</v>
      </c>
      <c r="G2358" t="s">
        <v>5600</v>
      </c>
      <c r="H2358" t="s">
        <v>8452</v>
      </c>
      <c r="I2358" t="s">
        <v>3249</v>
      </c>
    </row>
    <row r="2359" spans="1:9">
      <c r="A2359" t="str">
        <f>"0031347 "</f>
        <v xml:space="preserve">0031347 </v>
      </c>
      <c r="B2359" t="s">
        <v>5597</v>
      </c>
      <c r="C2359" t="s">
        <v>8453</v>
      </c>
      <c r="D2359" t="s">
        <v>8454</v>
      </c>
      <c r="E2359">
        <v>1</v>
      </c>
      <c r="F2359" t="s">
        <v>8455</v>
      </c>
      <c r="G2359" t="s">
        <v>5600</v>
      </c>
      <c r="H2359" t="s">
        <v>8456</v>
      </c>
      <c r="I2359" t="s">
        <v>3417</v>
      </c>
    </row>
    <row r="2360" spans="1:9">
      <c r="A2360" t="str">
        <f>"0031348 "</f>
        <v xml:space="preserve">0031348 </v>
      </c>
      <c r="B2360" t="s">
        <v>5597</v>
      </c>
      <c r="C2360" t="s">
        <v>8457</v>
      </c>
      <c r="D2360" t="s">
        <v>8458</v>
      </c>
      <c r="E2360">
        <v>1</v>
      </c>
      <c r="F2360" t="s">
        <v>8459</v>
      </c>
      <c r="G2360" t="s">
        <v>5600</v>
      </c>
      <c r="H2360" t="s">
        <v>8460</v>
      </c>
      <c r="I2360" t="s">
        <v>8461</v>
      </c>
    </row>
    <row r="2361" spans="1:9">
      <c r="A2361" t="str">
        <f>"0031354 "</f>
        <v xml:space="preserve">0031354 </v>
      </c>
      <c r="B2361" t="s">
        <v>5597</v>
      </c>
      <c r="C2361" t="s">
        <v>8462</v>
      </c>
      <c r="D2361" t="s">
        <v>8463</v>
      </c>
      <c r="E2361" t="s">
        <v>20</v>
      </c>
      <c r="F2361" t="s">
        <v>8464</v>
      </c>
      <c r="G2361" t="s">
        <v>5600</v>
      </c>
      <c r="H2361" t="s">
        <v>8465</v>
      </c>
      <c r="I2361" t="s">
        <v>8466</v>
      </c>
    </row>
    <row r="2362" spans="1:9">
      <c r="A2362" t="str">
        <f>"0031355 "</f>
        <v xml:space="preserve">0031355 </v>
      </c>
      <c r="B2362" t="s">
        <v>5597</v>
      </c>
      <c r="C2362" t="s">
        <v>8467</v>
      </c>
      <c r="D2362" t="s">
        <v>8468</v>
      </c>
      <c r="E2362">
        <v>1</v>
      </c>
      <c r="F2362" t="s">
        <v>7453</v>
      </c>
      <c r="G2362" t="s">
        <v>5600</v>
      </c>
      <c r="H2362" t="s">
        <v>8469</v>
      </c>
      <c r="I2362" t="s">
        <v>3264</v>
      </c>
    </row>
    <row r="2363" spans="1:9">
      <c r="A2363" t="str">
        <f>"0031356 "</f>
        <v xml:space="preserve">0031356 </v>
      </c>
      <c r="B2363" t="s">
        <v>5597</v>
      </c>
      <c r="C2363" t="s">
        <v>8470</v>
      </c>
      <c r="D2363" t="s">
        <v>8471</v>
      </c>
      <c r="E2363">
        <v>1</v>
      </c>
      <c r="F2363" t="s">
        <v>2270</v>
      </c>
      <c r="G2363" t="s">
        <v>5600</v>
      </c>
      <c r="H2363" t="s">
        <v>8472</v>
      </c>
      <c r="I2363" t="s">
        <v>3312</v>
      </c>
    </row>
    <row r="2364" spans="1:9">
      <c r="A2364" t="str">
        <f>"0031357 "</f>
        <v xml:space="preserve">0031357 </v>
      </c>
      <c r="B2364" t="s">
        <v>5597</v>
      </c>
      <c r="C2364" t="s">
        <v>8473</v>
      </c>
      <c r="D2364" t="s">
        <v>8474</v>
      </c>
      <c r="E2364" t="s">
        <v>20</v>
      </c>
      <c r="F2364" t="s">
        <v>7271</v>
      </c>
      <c r="G2364" t="s">
        <v>5600</v>
      </c>
      <c r="H2364" t="s">
        <v>8475</v>
      </c>
      <c r="I2364" t="s">
        <v>1310</v>
      </c>
    </row>
    <row r="2365" spans="1:9">
      <c r="A2365" t="str">
        <f>"0031358 "</f>
        <v xml:space="preserve">0031358 </v>
      </c>
      <c r="B2365" t="s">
        <v>5597</v>
      </c>
      <c r="C2365" t="s">
        <v>8476</v>
      </c>
      <c r="D2365" t="s">
        <v>8477</v>
      </c>
      <c r="E2365">
        <v>2</v>
      </c>
      <c r="F2365" t="s">
        <v>6234</v>
      </c>
      <c r="G2365" t="s">
        <v>5600</v>
      </c>
      <c r="H2365" t="s">
        <v>8478</v>
      </c>
      <c r="I2365" t="s">
        <v>1295</v>
      </c>
    </row>
    <row r="2366" spans="1:9">
      <c r="A2366" t="str">
        <f>"0031359 "</f>
        <v xml:space="preserve">0031359 </v>
      </c>
      <c r="B2366" t="s">
        <v>5597</v>
      </c>
      <c r="C2366" t="s">
        <v>8479</v>
      </c>
      <c r="D2366" t="s">
        <v>8480</v>
      </c>
      <c r="E2366">
        <v>1</v>
      </c>
      <c r="F2366" t="s">
        <v>8170</v>
      </c>
      <c r="G2366" t="s">
        <v>5600</v>
      </c>
      <c r="H2366" t="s">
        <v>8481</v>
      </c>
      <c r="I2366" t="s">
        <v>8482</v>
      </c>
    </row>
    <row r="2367" spans="1:9">
      <c r="A2367" t="str">
        <f>"0031360 "</f>
        <v xml:space="preserve">0031360 </v>
      </c>
      <c r="B2367" t="s">
        <v>5597</v>
      </c>
      <c r="C2367" t="s">
        <v>8483</v>
      </c>
      <c r="D2367" t="s">
        <v>8484</v>
      </c>
      <c r="E2367" t="s">
        <v>20</v>
      </c>
      <c r="F2367" t="s">
        <v>8485</v>
      </c>
      <c r="G2367" t="s">
        <v>5600</v>
      </c>
      <c r="H2367" t="s">
        <v>8486</v>
      </c>
      <c r="I2367" t="s">
        <v>8487</v>
      </c>
    </row>
    <row r="2368" spans="1:9">
      <c r="A2368" t="str">
        <f>"0031362 "</f>
        <v xml:space="preserve">0031362 </v>
      </c>
      <c r="B2368" t="s">
        <v>5597</v>
      </c>
      <c r="C2368" t="s">
        <v>8488</v>
      </c>
      <c r="D2368" t="s">
        <v>8489</v>
      </c>
      <c r="E2368" t="s">
        <v>20</v>
      </c>
      <c r="F2368" t="s">
        <v>8490</v>
      </c>
      <c r="G2368" t="s">
        <v>5600</v>
      </c>
      <c r="H2368" t="s">
        <v>8491</v>
      </c>
      <c r="I2368" t="s">
        <v>3272</v>
      </c>
    </row>
    <row r="2369" spans="1:9">
      <c r="A2369" t="str">
        <f>"0031363 "</f>
        <v xml:space="preserve">0031363 </v>
      </c>
      <c r="B2369" t="s">
        <v>5597</v>
      </c>
      <c r="C2369" t="s">
        <v>8492</v>
      </c>
      <c r="D2369" t="s">
        <v>8493</v>
      </c>
      <c r="E2369">
        <v>1</v>
      </c>
      <c r="F2369" t="s">
        <v>8494</v>
      </c>
      <c r="G2369" t="s">
        <v>5600</v>
      </c>
      <c r="H2369" t="s">
        <v>8495</v>
      </c>
      <c r="I2369" t="s">
        <v>8496</v>
      </c>
    </row>
    <row r="2370" spans="1:9">
      <c r="A2370" t="str">
        <f>"0031364 "</f>
        <v xml:space="preserve">0031364 </v>
      </c>
      <c r="B2370" t="s">
        <v>5597</v>
      </c>
      <c r="C2370" t="s">
        <v>8497</v>
      </c>
      <c r="D2370" t="s">
        <v>8498</v>
      </c>
      <c r="E2370">
        <v>1</v>
      </c>
      <c r="F2370" t="s">
        <v>5704</v>
      </c>
      <c r="G2370" t="s">
        <v>5600</v>
      </c>
      <c r="H2370" t="s">
        <v>8499</v>
      </c>
      <c r="I2370" t="s">
        <v>8500</v>
      </c>
    </row>
    <row r="2371" spans="1:9">
      <c r="A2371" t="str">
        <f>"0031365 "</f>
        <v xml:space="preserve">0031365 </v>
      </c>
      <c r="B2371" t="s">
        <v>5597</v>
      </c>
      <c r="C2371" t="s">
        <v>8501</v>
      </c>
      <c r="D2371" t="s">
        <v>8502</v>
      </c>
      <c r="E2371">
        <v>2</v>
      </c>
      <c r="F2371" t="s">
        <v>8503</v>
      </c>
      <c r="G2371" t="s">
        <v>5600</v>
      </c>
      <c r="H2371" t="s">
        <v>8504</v>
      </c>
      <c r="I2371" t="s">
        <v>3256</v>
      </c>
    </row>
    <row r="2372" spans="1:9">
      <c r="A2372" t="str">
        <f>"0031366 "</f>
        <v xml:space="preserve">0031366 </v>
      </c>
      <c r="B2372" t="s">
        <v>5597</v>
      </c>
      <c r="C2372" t="s">
        <v>8505</v>
      </c>
      <c r="D2372" t="s">
        <v>8506</v>
      </c>
      <c r="E2372">
        <v>2</v>
      </c>
      <c r="F2372" t="s">
        <v>5689</v>
      </c>
      <c r="G2372" t="s">
        <v>5600</v>
      </c>
      <c r="H2372" t="s">
        <v>8507</v>
      </c>
      <c r="I2372" t="s">
        <v>8508</v>
      </c>
    </row>
    <row r="2373" spans="1:9">
      <c r="A2373" t="str">
        <f>"0031367 "</f>
        <v xml:space="preserve">0031367 </v>
      </c>
      <c r="B2373" t="s">
        <v>5597</v>
      </c>
      <c r="C2373" t="s">
        <v>8509</v>
      </c>
      <c r="D2373" t="s">
        <v>8510</v>
      </c>
      <c r="E2373">
        <v>2</v>
      </c>
      <c r="F2373" t="s">
        <v>6899</v>
      </c>
      <c r="G2373" t="s">
        <v>5600</v>
      </c>
      <c r="H2373" t="s">
        <v>8511</v>
      </c>
      <c r="I2373" t="s">
        <v>3276</v>
      </c>
    </row>
    <row r="2374" spans="1:9">
      <c r="A2374" t="str">
        <f>"0031368 "</f>
        <v xml:space="preserve">0031368 </v>
      </c>
      <c r="B2374" t="s">
        <v>5597</v>
      </c>
      <c r="C2374" t="s">
        <v>8512</v>
      </c>
      <c r="D2374" t="s">
        <v>8513</v>
      </c>
      <c r="E2374">
        <v>1</v>
      </c>
      <c r="F2374" t="s">
        <v>8514</v>
      </c>
      <c r="G2374" t="s">
        <v>5600</v>
      </c>
      <c r="H2374" t="s">
        <v>8515</v>
      </c>
      <c r="I2374" t="s">
        <v>8516</v>
      </c>
    </row>
    <row r="2375" spans="1:9">
      <c r="A2375" t="str">
        <f>"0031369 "</f>
        <v xml:space="preserve">0031369 </v>
      </c>
      <c r="B2375" t="s">
        <v>5597</v>
      </c>
      <c r="C2375" t="s">
        <v>8517</v>
      </c>
      <c r="D2375" t="s">
        <v>8518</v>
      </c>
      <c r="E2375">
        <v>1</v>
      </c>
      <c r="F2375" t="s">
        <v>8519</v>
      </c>
      <c r="G2375" t="s">
        <v>5600</v>
      </c>
      <c r="H2375" t="s">
        <v>8520</v>
      </c>
      <c r="I2375" t="s">
        <v>8521</v>
      </c>
    </row>
    <row r="2376" spans="1:9">
      <c r="A2376" t="str">
        <f>"0031370 "</f>
        <v xml:space="preserve">0031370 </v>
      </c>
      <c r="B2376" t="s">
        <v>5597</v>
      </c>
      <c r="C2376" t="s">
        <v>8522</v>
      </c>
      <c r="D2376" t="s">
        <v>8523</v>
      </c>
      <c r="E2376">
        <v>1</v>
      </c>
      <c r="F2376" t="s">
        <v>7090</v>
      </c>
      <c r="G2376" t="s">
        <v>5600</v>
      </c>
      <c r="H2376" t="s">
        <v>8524</v>
      </c>
      <c r="I2376" t="s">
        <v>8525</v>
      </c>
    </row>
    <row r="2377" spans="1:9">
      <c r="A2377" t="str">
        <f>"0031371 "</f>
        <v xml:space="preserve">0031371 </v>
      </c>
      <c r="B2377" t="s">
        <v>5597</v>
      </c>
      <c r="C2377" t="s">
        <v>8526</v>
      </c>
      <c r="D2377" t="s">
        <v>8527</v>
      </c>
      <c r="E2377">
        <v>2</v>
      </c>
      <c r="F2377" t="s">
        <v>8528</v>
      </c>
      <c r="G2377" t="s">
        <v>5600</v>
      </c>
      <c r="H2377" t="s">
        <v>8529</v>
      </c>
      <c r="I2377" t="s">
        <v>8530</v>
      </c>
    </row>
    <row r="2378" spans="1:9">
      <c r="A2378" t="str">
        <f>"0031372 "</f>
        <v xml:space="preserve">0031372 </v>
      </c>
      <c r="B2378" t="s">
        <v>5597</v>
      </c>
      <c r="C2378" t="s">
        <v>8531</v>
      </c>
      <c r="D2378" t="s">
        <v>8532</v>
      </c>
      <c r="E2378">
        <v>4</v>
      </c>
      <c r="F2378" t="s">
        <v>6197</v>
      </c>
      <c r="G2378" t="s">
        <v>5600</v>
      </c>
      <c r="H2378" t="s">
        <v>8533</v>
      </c>
      <c r="I2378" t="s">
        <v>1217</v>
      </c>
    </row>
    <row r="2379" spans="1:9">
      <c r="A2379" t="str">
        <f>"0031373 "</f>
        <v xml:space="preserve">0031373 </v>
      </c>
      <c r="B2379" t="s">
        <v>5597</v>
      </c>
      <c r="C2379" t="s">
        <v>8534</v>
      </c>
      <c r="D2379" t="s">
        <v>8535</v>
      </c>
      <c r="E2379" t="s">
        <v>20</v>
      </c>
      <c r="F2379" t="s">
        <v>5689</v>
      </c>
      <c r="G2379" t="s">
        <v>5600</v>
      </c>
      <c r="H2379" t="s">
        <v>8536</v>
      </c>
      <c r="I2379" t="s">
        <v>3316</v>
      </c>
    </row>
    <row r="2380" spans="1:9">
      <c r="A2380" t="str">
        <f>"0031374 "</f>
        <v xml:space="preserve">0031374 </v>
      </c>
      <c r="B2380" t="s">
        <v>5597</v>
      </c>
      <c r="C2380" t="s">
        <v>8537</v>
      </c>
      <c r="D2380" t="s">
        <v>8538</v>
      </c>
      <c r="E2380">
        <v>1</v>
      </c>
      <c r="F2380" t="s">
        <v>8539</v>
      </c>
      <c r="G2380" t="s">
        <v>5600</v>
      </c>
      <c r="H2380" t="s">
        <v>8540</v>
      </c>
      <c r="I2380" t="s">
        <v>8541</v>
      </c>
    </row>
    <row r="2381" spans="1:9">
      <c r="A2381" t="str">
        <f>"0031375 "</f>
        <v xml:space="preserve">0031375 </v>
      </c>
      <c r="B2381" t="s">
        <v>5597</v>
      </c>
      <c r="C2381" t="s">
        <v>8542</v>
      </c>
      <c r="D2381" t="s">
        <v>8543</v>
      </c>
      <c r="E2381">
        <v>1</v>
      </c>
      <c r="F2381" t="s">
        <v>8544</v>
      </c>
      <c r="G2381" t="s">
        <v>5600</v>
      </c>
      <c r="H2381" t="s">
        <v>8545</v>
      </c>
      <c r="I2381" t="s">
        <v>8546</v>
      </c>
    </row>
    <row r="2382" spans="1:9">
      <c r="A2382" t="str">
        <f>"0116717 "</f>
        <v xml:space="preserve">0116717 </v>
      </c>
      <c r="B2382" t="s">
        <v>5597</v>
      </c>
      <c r="C2382" t="s">
        <v>8547</v>
      </c>
      <c r="D2382" t="s">
        <v>8548</v>
      </c>
      <c r="E2382">
        <v>1</v>
      </c>
      <c r="F2382" t="s">
        <v>8549</v>
      </c>
      <c r="G2382" t="s">
        <v>5600</v>
      </c>
      <c r="H2382" t="s">
        <v>8550</v>
      </c>
      <c r="I2382" t="s">
        <v>8551</v>
      </c>
    </row>
    <row r="2383" spans="1:9">
      <c r="A2383" t="str">
        <f>"0031377 "</f>
        <v xml:space="preserve">0031377 </v>
      </c>
      <c r="B2383" t="s">
        <v>5597</v>
      </c>
      <c r="C2383" t="s">
        <v>8552</v>
      </c>
      <c r="D2383" t="s">
        <v>8553</v>
      </c>
      <c r="E2383">
        <v>1</v>
      </c>
      <c r="F2383" t="s">
        <v>6913</v>
      </c>
      <c r="G2383" t="s">
        <v>5600</v>
      </c>
      <c r="H2383" t="s">
        <v>8554</v>
      </c>
      <c r="I2383" t="s">
        <v>8555</v>
      </c>
    </row>
    <row r="2384" spans="1:9">
      <c r="A2384" t="str">
        <f>"0031378 "</f>
        <v xml:space="preserve">0031378 </v>
      </c>
      <c r="B2384" t="s">
        <v>5597</v>
      </c>
      <c r="C2384" t="s">
        <v>8556</v>
      </c>
      <c r="D2384" t="s">
        <v>8557</v>
      </c>
      <c r="E2384" t="s">
        <v>20</v>
      </c>
      <c r="F2384" t="s">
        <v>8558</v>
      </c>
      <c r="G2384" t="s">
        <v>5600</v>
      </c>
      <c r="H2384" t="s">
        <v>8559</v>
      </c>
      <c r="I2384" t="s">
        <v>2635</v>
      </c>
    </row>
    <row r="2385" spans="1:9">
      <c r="A2385" t="str">
        <f>"0031379 "</f>
        <v xml:space="preserve">0031379 </v>
      </c>
      <c r="B2385" t="s">
        <v>5597</v>
      </c>
      <c r="C2385" t="s">
        <v>8560</v>
      </c>
      <c r="D2385" t="s">
        <v>8561</v>
      </c>
      <c r="E2385">
        <v>1</v>
      </c>
      <c r="F2385" t="s">
        <v>6402</v>
      </c>
      <c r="G2385" t="s">
        <v>5600</v>
      </c>
      <c r="H2385" t="s">
        <v>8562</v>
      </c>
      <c r="I2385" t="s">
        <v>3300</v>
      </c>
    </row>
    <row r="2386" spans="1:9">
      <c r="A2386" t="str">
        <f>"0031382 "</f>
        <v xml:space="preserve">0031382 </v>
      </c>
      <c r="B2386" t="s">
        <v>5597</v>
      </c>
      <c r="C2386" t="s">
        <v>8563</v>
      </c>
      <c r="D2386" t="s">
        <v>8564</v>
      </c>
      <c r="E2386">
        <v>1</v>
      </c>
      <c r="F2386" t="s">
        <v>8565</v>
      </c>
      <c r="G2386" t="s">
        <v>5600</v>
      </c>
      <c r="H2386" t="s">
        <v>8566</v>
      </c>
      <c r="I2386" t="s">
        <v>8567</v>
      </c>
    </row>
    <row r="2387" spans="1:9">
      <c r="A2387" t="str">
        <f>"0031384 "</f>
        <v xml:space="preserve">0031384 </v>
      </c>
      <c r="B2387" t="s">
        <v>5597</v>
      </c>
      <c r="C2387" t="s">
        <v>8568</v>
      </c>
      <c r="D2387" t="s">
        <v>8569</v>
      </c>
      <c r="E2387">
        <v>2</v>
      </c>
      <c r="F2387" t="s">
        <v>8570</v>
      </c>
      <c r="G2387" t="s">
        <v>5600</v>
      </c>
      <c r="H2387" t="s">
        <v>8571</v>
      </c>
      <c r="I2387" t="s">
        <v>8572</v>
      </c>
    </row>
    <row r="2388" spans="1:9">
      <c r="A2388" t="str">
        <f>"0031394 "</f>
        <v xml:space="preserve">0031394 </v>
      </c>
      <c r="B2388" t="s">
        <v>5597</v>
      </c>
      <c r="C2388" t="s">
        <v>8573</v>
      </c>
      <c r="D2388" t="s">
        <v>8574</v>
      </c>
      <c r="E2388">
        <v>1</v>
      </c>
      <c r="F2388" t="s">
        <v>5802</v>
      </c>
      <c r="G2388" t="s">
        <v>5600</v>
      </c>
      <c r="H2388" t="s">
        <v>8575</v>
      </c>
      <c r="I2388" t="s">
        <v>1213</v>
      </c>
    </row>
    <row r="2389" spans="1:9">
      <c r="A2389" t="str">
        <f>"0031399 "</f>
        <v xml:space="preserve">0031399 </v>
      </c>
      <c r="B2389" t="s">
        <v>5597</v>
      </c>
      <c r="C2389" t="s">
        <v>8576</v>
      </c>
      <c r="D2389" t="s">
        <v>8577</v>
      </c>
      <c r="E2389">
        <v>2</v>
      </c>
      <c r="F2389" t="s">
        <v>7001</v>
      </c>
      <c r="G2389" t="s">
        <v>5600</v>
      </c>
      <c r="H2389" t="s">
        <v>8578</v>
      </c>
      <c r="I2389" t="s">
        <v>3330</v>
      </c>
    </row>
    <row r="2390" spans="1:9">
      <c r="A2390" t="str">
        <f>"0031400 "</f>
        <v xml:space="preserve">0031400 </v>
      </c>
      <c r="B2390" t="s">
        <v>5597</v>
      </c>
      <c r="C2390" t="s">
        <v>8579</v>
      </c>
      <c r="D2390" t="s">
        <v>8580</v>
      </c>
      <c r="E2390" t="s">
        <v>20</v>
      </c>
      <c r="F2390" t="s">
        <v>7140</v>
      </c>
      <c r="G2390" t="s">
        <v>5600</v>
      </c>
      <c r="H2390" t="s">
        <v>8581</v>
      </c>
      <c r="I2390" t="s">
        <v>1288</v>
      </c>
    </row>
    <row r="2391" spans="1:9">
      <c r="A2391" t="str">
        <f>"0031401 "</f>
        <v xml:space="preserve">0031401 </v>
      </c>
      <c r="B2391" t="s">
        <v>5597</v>
      </c>
      <c r="C2391" t="s">
        <v>8582</v>
      </c>
      <c r="D2391" t="s">
        <v>8583</v>
      </c>
      <c r="E2391">
        <v>1</v>
      </c>
      <c r="F2391" t="s">
        <v>8584</v>
      </c>
      <c r="G2391" t="s">
        <v>5600</v>
      </c>
      <c r="H2391" t="s">
        <v>8585</v>
      </c>
      <c r="I2391" t="s">
        <v>8586</v>
      </c>
    </row>
    <row r="2392" spans="1:9">
      <c r="A2392" t="str">
        <f>"0031402 "</f>
        <v xml:space="preserve">0031402 </v>
      </c>
      <c r="B2392" t="s">
        <v>5597</v>
      </c>
      <c r="C2392" t="s">
        <v>8587</v>
      </c>
      <c r="D2392" t="s">
        <v>8588</v>
      </c>
      <c r="E2392">
        <v>1</v>
      </c>
      <c r="F2392" t="s">
        <v>1212</v>
      </c>
      <c r="G2392" t="s">
        <v>5600</v>
      </c>
      <c r="H2392" t="s">
        <v>8589</v>
      </c>
      <c r="I2392" t="s">
        <v>8590</v>
      </c>
    </row>
    <row r="2393" spans="1:9">
      <c r="A2393" t="str">
        <f>"0031403 "</f>
        <v xml:space="preserve">0031403 </v>
      </c>
      <c r="B2393" t="s">
        <v>5597</v>
      </c>
      <c r="C2393" t="s">
        <v>8591</v>
      </c>
      <c r="D2393" t="s">
        <v>8592</v>
      </c>
      <c r="E2393">
        <v>5</v>
      </c>
      <c r="F2393" t="s">
        <v>8593</v>
      </c>
      <c r="G2393" t="s">
        <v>5600</v>
      </c>
      <c r="H2393" t="s">
        <v>8594</v>
      </c>
      <c r="I2393" t="s">
        <v>1260</v>
      </c>
    </row>
    <row r="2394" spans="1:9">
      <c r="A2394" t="str">
        <f>"0031404 "</f>
        <v xml:space="preserve">0031404 </v>
      </c>
      <c r="B2394" t="s">
        <v>5597</v>
      </c>
      <c r="C2394" t="s">
        <v>8595</v>
      </c>
      <c r="D2394" t="s">
        <v>8596</v>
      </c>
      <c r="E2394" t="s">
        <v>20</v>
      </c>
      <c r="F2394" t="s">
        <v>5913</v>
      </c>
      <c r="G2394" t="s">
        <v>5600</v>
      </c>
      <c r="H2394" t="s">
        <v>8597</v>
      </c>
      <c r="I2394" t="s">
        <v>8598</v>
      </c>
    </row>
    <row r="2395" spans="1:9">
      <c r="A2395" t="str">
        <f>"0031405 "</f>
        <v xml:space="preserve">0031405 </v>
      </c>
      <c r="B2395" t="s">
        <v>5597</v>
      </c>
      <c r="C2395" t="s">
        <v>8599</v>
      </c>
      <c r="D2395" t="s">
        <v>8600</v>
      </c>
      <c r="E2395">
        <v>2</v>
      </c>
      <c r="F2395" t="s">
        <v>7001</v>
      </c>
      <c r="G2395" t="s">
        <v>5600</v>
      </c>
      <c r="H2395" t="s">
        <v>8601</v>
      </c>
      <c r="I2395" t="s">
        <v>8602</v>
      </c>
    </row>
    <row r="2396" spans="1:9">
      <c r="A2396" t="str">
        <f>"0031406 "</f>
        <v xml:space="preserve">0031406 </v>
      </c>
      <c r="B2396" t="s">
        <v>5597</v>
      </c>
      <c r="C2396" t="s">
        <v>8603</v>
      </c>
      <c r="D2396" t="s">
        <v>8604</v>
      </c>
      <c r="E2396" t="s">
        <v>20</v>
      </c>
      <c r="F2396" t="s">
        <v>8605</v>
      </c>
      <c r="G2396" t="s">
        <v>5600</v>
      </c>
      <c r="H2396" t="s">
        <v>8606</v>
      </c>
      <c r="I2396" t="s">
        <v>1249</v>
      </c>
    </row>
    <row r="2397" spans="1:9">
      <c r="A2397" t="str">
        <f>"0031408 "</f>
        <v xml:space="preserve">0031408 </v>
      </c>
      <c r="B2397" t="s">
        <v>5597</v>
      </c>
      <c r="C2397" t="s">
        <v>8607</v>
      </c>
      <c r="D2397" t="s">
        <v>8608</v>
      </c>
      <c r="E2397">
        <v>1</v>
      </c>
      <c r="F2397" t="s">
        <v>8609</v>
      </c>
      <c r="G2397" t="s">
        <v>5600</v>
      </c>
      <c r="H2397" t="s">
        <v>8610</v>
      </c>
      <c r="I2397" t="s">
        <v>8611</v>
      </c>
    </row>
    <row r="2398" spans="1:9">
      <c r="A2398" t="str">
        <f>"0031411 "</f>
        <v xml:space="preserve">0031411 </v>
      </c>
      <c r="B2398" t="s">
        <v>5597</v>
      </c>
      <c r="C2398" t="s">
        <v>8612</v>
      </c>
      <c r="D2398" t="s">
        <v>8613</v>
      </c>
      <c r="E2398">
        <v>2</v>
      </c>
      <c r="F2398" t="s">
        <v>5818</v>
      </c>
      <c r="G2398" t="s">
        <v>5600</v>
      </c>
      <c r="H2398" t="s">
        <v>8614</v>
      </c>
      <c r="I2398" t="s">
        <v>8615</v>
      </c>
    </row>
    <row r="2399" spans="1:9">
      <c r="A2399" t="str">
        <f>"0031412 "</f>
        <v xml:space="preserve">0031412 </v>
      </c>
      <c r="B2399" t="s">
        <v>5597</v>
      </c>
      <c r="C2399" t="s">
        <v>8616</v>
      </c>
      <c r="D2399" t="s">
        <v>8617</v>
      </c>
      <c r="E2399" t="s">
        <v>20</v>
      </c>
      <c r="F2399" t="s">
        <v>6178</v>
      </c>
      <c r="G2399" t="s">
        <v>5600</v>
      </c>
      <c r="H2399" t="s">
        <v>8618</v>
      </c>
      <c r="I2399" t="s">
        <v>8619</v>
      </c>
    </row>
    <row r="2400" spans="1:9">
      <c r="A2400" t="str">
        <f>"0031414 "</f>
        <v xml:space="preserve">0031414 </v>
      </c>
      <c r="B2400" t="s">
        <v>5597</v>
      </c>
      <c r="C2400" t="s">
        <v>8620</v>
      </c>
      <c r="D2400" t="s">
        <v>8621</v>
      </c>
      <c r="E2400" t="s">
        <v>20</v>
      </c>
      <c r="F2400" t="s">
        <v>8622</v>
      </c>
      <c r="G2400" t="s">
        <v>5600</v>
      </c>
      <c r="H2400" t="s">
        <v>8623</v>
      </c>
      <c r="I2400" t="s">
        <v>1243</v>
      </c>
    </row>
    <row r="2401" spans="1:9">
      <c r="A2401" t="str">
        <f>"0116719 "</f>
        <v xml:space="preserve">0116719 </v>
      </c>
      <c r="B2401" t="s">
        <v>5597</v>
      </c>
      <c r="C2401" t="s">
        <v>8624</v>
      </c>
      <c r="D2401" t="s">
        <v>8625</v>
      </c>
      <c r="E2401" t="s">
        <v>20</v>
      </c>
      <c r="F2401" t="s">
        <v>8626</v>
      </c>
      <c r="G2401" t="s">
        <v>5600</v>
      </c>
      <c r="H2401" t="s">
        <v>8627</v>
      </c>
      <c r="I2401" t="s">
        <v>8628</v>
      </c>
    </row>
    <row r="2402" spans="1:9">
      <c r="A2402" t="str">
        <f>"0116720 "</f>
        <v xml:space="preserve">0116720 </v>
      </c>
      <c r="B2402" t="s">
        <v>5597</v>
      </c>
      <c r="C2402" t="s">
        <v>8629</v>
      </c>
      <c r="D2402" t="s">
        <v>8630</v>
      </c>
      <c r="E2402">
        <v>1</v>
      </c>
      <c r="F2402" t="s">
        <v>8631</v>
      </c>
      <c r="G2402" t="s">
        <v>5600</v>
      </c>
      <c r="H2402" t="s">
        <v>8632</v>
      </c>
      <c r="I2402" t="s">
        <v>8633</v>
      </c>
    </row>
    <row r="2403" spans="1:9">
      <c r="A2403" t="str">
        <f>"0031418 "</f>
        <v xml:space="preserve">0031418 </v>
      </c>
      <c r="B2403" t="s">
        <v>5597</v>
      </c>
      <c r="C2403" t="s">
        <v>8634</v>
      </c>
      <c r="D2403" t="s">
        <v>8635</v>
      </c>
      <c r="E2403">
        <v>1</v>
      </c>
      <c r="F2403" t="s">
        <v>8636</v>
      </c>
      <c r="G2403" t="s">
        <v>5600</v>
      </c>
      <c r="H2403" t="s">
        <v>8637</v>
      </c>
      <c r="I2403" t="s">
        <v>8638</v>
      </c>
    </row>
    <row r="2404" spans="1:9">
      <c r="A2404" t="str">
        <f>"0031419 "</f>
        <v xml:space="preserve">0031419 </v>
      </c>
      <c r="B2404" t="s">
        <v>5597</v>
      </c>
      <c r="C2404" t="s">
        <v>8639</v>
      </c>
      <c r="D2404" t="s">
        <v>8640</v>
      </c>
      <c r="E2404" t="s">
        <v>20</v>
      </c>
      <c r="F2404" t="s">
        <v>7281</v>
      </c>
      <c r="G2404" t="s">
        <v>5600</v>
      </c>
      <c r="H2404" t="s">
        <v>8641</v>
      </c>
      <c r="I2404" t="s">
        <v>8642</v>
      </c>
    </row>
    <row r="2405" spans="1:9">
      <c r="A2405" t="str">
        <f>"0031420 "</f>
        <v xml:space="preserve">0031420 </v>
      </c>
      <c r="B2405" t="s">
        <v>5597</v>
      </c>
      <c r="C2405" t="s">
        <v>8643</v>
      </c>
      <c r="D2405" t="s">
        <v>8644</v>
      </c>
      <c r="E2405">
        <v>1</v>
      </c>
      <c r="F2405" t="s">
        <v>6178</v>
      </c>
      <c r="G2405" t="s">
        <v>5600</v>
      </c>
      <c r="H2405" t="s">
        <v>8645</v>
      </c>
      <c r="I2405" t="s">
        <v>8646</v>
      </c>
    </row>
    <row r="2406" spans="1:9">
      <c r="A2406" t="str">
        <f>"0048787 "</f>
        <v xml:space="preserve">0048787 </v>
      </c>
      <c r="B2406" t="s">
        <v>5597</v>
      </c>
      <c r="C2406" t="s">
        <v>8647</v>
      </c>
      <c r="D2406" t="s">
        <v>8648</v>
      </c>
      <c r="E2406">
        <v>2</v>
      </c>
      <c r="F2406" t="s">
        <v>5776</v>
      </c>
      <c r="G2406" t="s">
        <v>5600</v>
      </c>
      <c r="H2406" t="s">
        <v>8649</v>
      </c>
      <c r="I2406" t="s">
        <v>8650</v>
      </c>
    </row>
    <row r="2407" spans="1:9">
      <c r="A2407" t="str">
        <f>"0038203 "</f>
        <v xml:space="preserve">0038203 </v>
      </c>
      <c r="B2407" t="s">
        <v>5597</v>
      </c>
      <c r="C2407" t="s">
        <v>8651</v>
      </c>
      <c r="D2407" t="s">
        <v>8652</v>
      </c>
      <c r="E2407">
        <v>2</v>
      </c>
      <c r="F2407" t="s">
        <v>8073</v>
      </c>
      <c r="G2407" t="s">
        <v>5600</v>
      </c>
      <c r="H2407" t="s">
        <v>8653</v>
      </c>
      <c r="I2407" t="s">
        <v>8654</v>
      </c>
    </row>
    <row r="2408" spans="1:9">
      <c r="A2408" t="str">
        <f>"0048788 "</f>
        <v xml:space="preserve">0048788 </v>
      </c>
      <c r="B2408" t="s">
        <v>5597</v>
      </c>
      <c r="C2408" t="s">
        <v>8655</v>
      </c>
      <c r="D2408" t="s">
        <v>8656</v>
      </c>
      <c r="E2408">
        <v>3</v>
      </c>
      <c r="F2408" t="s">
        <v>8657</v>
      </c>
      <c r="G2408" t="s">
        <v>5600</v>
      </c>
      <c r="H2408" t="s">
        <v>8658</v>
      </c>
      <c r="I2408" t="s">
        <v>8659</v>
      </c>
    </row>
    <row r="2409" spans="1:9">
      <c r="A2409" t="str">
        <f>"0048789 "</f>
        <v xml:space="preserve">0048789 </v>
      </c>
      <c r="B2409" t="s">
        <v>5597</v>
      </c>
      <c r="C2409" t="s">
        <v>8660</v>
      </c>
      <c r="D2409" t="s">
        <v>8661</v>
      </c>
      <c r="E2409">
        <v>1</v>
      </c>
      <c r="F2409" t="s">
        <v>8662</v>
      </c>
      <c r="G2409" t="s">
        <v>5600</v>
      </c>
      <c r="H2409" t="s">
        <v>8663</v>
      </c>
      <c r="I2409" t="s">
        <v>8664</v>
      </c>
    </row>
    <row r="2410" spans="1:9">
      <c r="A2410" t="str">
        <f>"0031425 "</f>
        <v xml:space="preserve">0031425 </v>
      </c>
      <c r="B2410" t="s">
        <v>5597</v>
      </c>
      <c r="C2410" t="s">
        <v>8665</v>
      </c>
      <c r="D2410" t="s">
        <v>8666</v>
      </c>
      <c r="E2410">
        <v>3</v>
      </c>
      <c r="F2410" t="s">
        <v>8667</v>
      </c>
      <c r="G2410" t="s">
        <v>5600</v>
      </c>
      <c r="H2410" t="s">
        <v>8668</v>
      </c>
      <c r="I2410" t="s">
        <v>8669</v>
      </c>
    </row>
    <row r="2411" spans="1:9">
      <c r="A2411" t="str">
        <f>"0031427 "</f>
        <v xml:space="preserve">0031427 </v>
      </c>
      <c r="B2411" t="s">
        <v>5597</v>
      </c>
      <c r="C2411" t="s">
        <v>8670</v>
      </c>
      <c r="D2411" t="s">
        <v>8671</v>
      </c>
      <c r="E2411">
        <v>2</v>
      </c>
      <c r="F2411" t="s">
        <v>6483</v>
      </c>
      <c r="G2411" t="s">
        <v>5600</v>
      </c>
      <c r="H2411" t="s">
        <v>8672</v>
      </c>
      <c r="I2411" t="s">
        <v>1303</v>
      </c>
    </row>
    <row r="2412" spans="1:9">
      <c r="A2412" t="str">
        <f>"0038204 "</f>
        <v xml:space="preserve">0038204 </v>
      </c>
      <c r="B2412" t="s">
        <v>5597</v>
      </c>
      <c r="C2412" t="s">
        <v>8673</v>
      </c>
      <c r="D2412" t="s">
        <v>8674</v>
      </c>
      <c r="E2412">
        <v>2</v>
      </c>
      <c r="F2412" t="s">
        <v>6010</v>
      </c>
      <c r="G2412" t="s">
        <v>5600</v>
      </c>
      <c r="H2412" t="s">
        <v>8675</v>
      </c>
      <c r="I2412" t="s">
        <v>1332</v>
      </c>
    </row>
    <row r="2413" spans="1:9">
      <c r="A2413" t="str">
        <f>"0031432 "</f>
        <v xml:space="preserve">0031432 </v>
      </c>
      <c r="B2413" t="s">
        <v>5597</v>
      </c>
      <c r="C2413" t="s">
        <v>8676</v>
      </c>
      <c r="D2413" t="s">
        <v>8677</v>
      </c>
      <c r="E2413" t="s">
        <v>20</v>
      </c>
      <c r="F2413" t="s">
        <v>8678</v>
      </c>
      <c r="G2413" t="s">
        <v>5600</v>
      </c>
      <c r="H2413" t="s">
        <v>8679</v>
      </c>
      <c r="I2413" t="s">
        <v>8680</v>
      </c>
    </row>
    <row r="2414" spans="1:9">
      <c r="A2414" t="str">
        <f>"0031434 "</f>
        <v xml:space="preserve">0031434 </v>
      </c>
      <c r="B2414" t="s">
        <v>5597</v>
      </c>
      <c r="C2414" t="s">
        <v>8681</v>
      </c>
      <c r="D2414" t="s">
        <v>8682</v>
      </c>
      <c r="E2414">
        <v>2</v>
      </c>
      <c r="F2414" t="s">
        <v>6044</v>
      </c>
      <c r="G2414" t="s">
        <v>5600</v>
      </c>
      <c r="H2414" t="s">
        <v>8683</v>
      </c>
      <c r="I2414" t="s">
        <v>8684</v>
      </c>
    </row>
    <row r="2415" spans="1:9">
      <c r="A2415" t="str">
        <f>"0038205 "</f>
        <v xml:space="preserve">0038205 </v>
      </c>
      <c r="B2415" t="s">
        <v>5597</v>
      </c>
      <c r="C2415" t="s">
        <v>8685</v>
      </c>
      <c r="D2415" t="s">
        <v>8686</v>
      </c>
      <c r="E2415">
        <v>2</v>
      </c>
      <c r="F2415" t="s">
        <v>8687</v>
      </c>
      <c r="G2415" t="s">
        <v>5600</v>
      </c>
      <c r="H2415" t="s">
        <v>8688</v>
      </c>
      <c r="I2415" t="s">
        <v>8689</v>
      </c>
    </row>
    <row r="2416" spans="1:9">
      <c r="A2416" t="str">
        <f>"0116723 "</f>
        <v xml:space="preserve">0116723 </v>
      </c>
      <c r="B2416" t="s">
        <v>5597</v>
      </c>
      <c r="C2416" t="s">
        <v>8690</v>
      </c>
      <c r="D2416" t="s">
        <v>8691</v>
      </c>
      <c r="E2416">
        <v>1</v>
      </c>
      <c r="F2416" t="s">
        <v>8692</v>
      </c>
      <c r="G2416" t="s">
        <v>5600</v>
      </c>
      <c r="H2416" t="s">
        <v>8693</v>
      </c>
      <c r="I2416" t="s">
        <v>8694</v>
      </c>
    </row>
    <row r="2417" spans="1:9">
      <c r="A2417" t="str">
        <f>"0031438 "</f>
        <v xml:space="preserve">0031438 </v>
      </c>
      <c r="B2417" t="s">
        <v>5597</v>
      </c>
      <c r="C2417" t="s">
        <v>8695</v>
      </c>
      <c r="D2417" t="s">
        <v>8696</v>
      </c>
      <c r="E2417">
        <v>1</v>
      </c>
      <c r="F2417" t="s">
        <v>8697</v>
      </c>
      <c r="G2417" t="s">
        <v>5600</v>
      </c>
      <c r="H2417" t="s">
        <v>8698</v>
      </c>
      <c r="I2417" t="s">
        <v>8699</v>
      </c>
    </row>
    <row r="2418" spans="1:9">
      <c r="A2418" t="str">
        <f>"0031439 "</f>
        <v xml:space="preserve">0031439 </v>
      </c>
      <c r="B2418" t="s">
        <v>5597</v>
      </c>
      <c r="C2418" t="s">
        <v>8700</v>
      </c>
      <c r="D2418" t="s">
        <v>8701</v>
      </c>
      <c r="E2418">
        <v>2</v>
      </c>
      <c r="F2418" t="s">
        <v>8514</v>
      </c>
      <c r="G2418" t="s">
        <v>5600</v>
      </c>
      <c r="H2418" t="s">
        <v>8702</v>
      </c>
      <c r="I2418" t="s">
        <v>8703</v>
      </c>
    </row>
    <row r="2419" spans="1:9">
      <c r="A2419" t="str">
        <f>"0048790 "</f>
        <v xml:space="preserve">0048790 </v>
      </c>
      <c r="B2419" t="s">
        <v>5597</v>
      </c>
      <c r="C2419" t="s">
        <v>8704</v>
      </c>
      <c r="D2419" t="s">
        <v>8705</v>
      </c>
      <c r="E2419">
        <v>1</v>
      </c>
      <c r="F2419" t="s">
        <v>8706</v>
      </c>
      <c r="G2419" t="s">
        <v>5600</v>
      </c>
      <c r="H2419" t="s">
        <v>8707</v>
      </c>
      <c r="I2419" t="s">
        <v>8708</v>
      </c>
    </row>
    <row r="2420" spans="1:9">
      <c r="A2420" t="str">
        <f>"0048791 "</f>
        <v xml:space="preserve">0048791 </v>
      </c>
      <c r="B2420" t="s">
        <v>5597</v>
      </c>
      <c r="C2420" t="s">
        <v>8709</v>
      </c>
      <c r="D2420" t="s">
        <v>8710</v>
      </c>
      <c r="E2420">
        <v>1</v>
      </c>
      <c r="F2420" t="s">
        <v>7266</v>
      </c>
      <c r="G2420" t="s">
        <v>5600</v>
      </c>
      <c r="H2420" t="s">
        <v>8711</v>
      </c>
      <c r="I2420" t="s">
        <v>8712</v>
      </c>
    </row>
    <row r="2421" spans="1:9">
      <c r="A2421" t="str">
        <f>"0038207 "</f>
        <v xml:space="preserve">0038207 </v>
      </c>
      <c r="B2421" t="s">
        <v>5597</v>
      </c>
      <c r="C2421" t="s">
        <v>8713</v>
      </c>
      <c r="D2421" t="s">
        <v>8714</v>
      </c>
      <c r="E2421">
        <v>1</v>
      </c>
      <c r="F2421" t="s">
        <v>7892</v>
      </c>
      <c r="G2421" t="s">
        <v>5600</v>
      </c>
      <c r="H2421" t="s">
        <v>8715</v>
      </c>
      <c r="I2421" t="s">
        <v>8716</v>
      </c>
    </row>
    <row r="2422" spans="1:9">
      <c r="A2422" t="str">
        <f>"0048792 "</f>
        <v xml:space="preserve">0048792 </v>
      </c>
      <c r="B2422" t="s">
        <v>5597</v>
      </c>
      <c r="C2422" t="s">
        <v>8717</v>
      </c>
      <c r="D2422" t="s">
        <v>8718</v>
      </c>
      <c r="E2422" t="s">
        <v>20</v>
      </c>
      <c r="F2422" t="s">
        <v>8719</v>
      </c>
      <c r="G2422" t="s">
        <v>5600</v>
      </c>
      <c r="H2422" t="s">
        <v>8720</v>
      </c>
      <c r="I2422" t="s">
        <v>8721</v>
      </c>
    </row>
    <row r="2423" spans="1:9">
      <c r="A2423" t="str">
        <f>"0116606 "</f>
        <v xml:space="preserve">0116606 </v>
      </c>
      <c r="B2423" t="s">
        <v>5597</v>
      </c>
      <c r="C2423" t="s">
        <v>8722</v>
      </c>
      <c r="D2423" t="s">
        <v>8723</v>
      </c>
      <c r="E2423">
        <v>1</v>
      </c>
      <c r="F2423" t="s">
        <v>272</v>
      </c>
      <c r="G2423" t="s">
        <v>5600</v>
      </c>
      <c r="H2423" t="s">
        <v>8724</v>
      </c>
      <c r="I2423" t="s">
        <v>8725</v>
      </c>
    </row>
    <row r="2424" spans="1:9">
      <c r="A2424" t="str">
        <f>"0159235 "</f>
        <v xml:space="preserve">0159235 </v>
      </c>
      <c r="B2424" t="s">
        <v>5597</v>
      </c>
      <c r="C2424" t="s">
        <v>8726</v>
      </c>
      <c r="D2424" t="s">
        <v>8727</v>
      </c>
      <c r="E2424">
        <v>2</v>
      </c>
      <c r="F2424" t="s">
        <v>8728</v>
      </c>
      <c r="G2424" t="s">
        <v>5600</v>
      </c>
      <c r="H2424" t="s">
        <v>8729</v>
      </c>
      <c r="I2424" t="s">
        <v>8730</v>
      </c>
    </row>
    <row r="2425" spans="1:9">
      <c r="A2425" t="str">
        <f>"0202090 "</f>
        <v xml:space="preserve">0202090 </v>
      </c>
      <c r="B2425" t="s">
        <v>5597</v>
      </c>
      <c r="C2425" t="s">
        <v>8731</v>
      </c>
      <c r="D2425" t="s">
        <v>8732</v>
      </c>
      <c r="E2425">
        <v>1</v>
      </c>
      <c r="F2425" t="s">
        <v>5750</v>
      </c>
      <c r="G2425" t="s">
        <v>5600</v>
      </c>
      <c r="H2425" t="s">
        <v>8733</v>
      </c>
      <c r="I2425" t="s">
        <v>8734</v>
      </c>
    </row>
    <row r="2426" spans="1:9">
      <c r="A2426" t="str">
        <f>"0031444 "</f>
        <v xml:space="preserve">0031444 </v>
      </c>
      <c r="B2426" t="s">
        <v>5597</v>
      </c>
      <c r="C2426" t="s">
        <v>8735</v>
      </c>
      <c r="D2426" t="s">
        <v>8736</v>
      </c>
      <c r="E2426" t="s">
        <v>20</v>
      </c>
      <c r="F2426" t="s">
        <v>5624</v>
      </c>
      <c r="G2426" t="s">
        <v>5600</v>
      </c>
      <c r="H2426" t="s">
        <v>8737</v>
      </c>
      <c r="I2426" t="s">
        <v>8738</v>
      </c>
    </row>
    <row r="2427" spans="1:9">
      <c r="A2427" t="str">
        <f>"0031445 "</f>
        <v xml:space="preserve">0031445 </v>
      </c>
      <c r="B2427" t="s">
        <v>5597</v>
      </c>
      <c r="C2427" t="s">
        <v>8739</v>
      </c>
      <c r="D2427" t="s">
        <v>8740</v>
      </c>
      <c r="E2427" t="s">
        <v>20</v>
      </c>
      <c r="F2427" t="s">
        <v>8741</v>
      </c>
      <c r="G2427" t="s">
        <v>5600</v>
      </c>
      <c r="H2427" t="s">
        <v>8742</v>
      </c>
      <c r="I2427" t="s">
        <v>8743</v>
      </c>
    </row>
    <row r="2428" spans="1:9">
      <c r="A2428" t="str">
        <f>"0031446 "</f>
        <v xml:space="preserve">0031446 </v>
      </c>
      <c r="B2428" t="s">
        <v>5597</v>
      </c>
      <c r="C2428" t="s">
        <v>8744</v>
      </c>
      <c r="D2428" t="s">
        <v>8745</v>
      </c>
      <c r="E2428">
        <v>1</v>
      </c>
      <c r="F2428" t="s">
        <v>8746</v>
      </c>
      <c r="G2428" t="s">
        <v>5600</v>
      </c>
      <c r="H2428" t="s">
        <v>8747</v>
      </c>
      <c r="I2428" t="s">
        <v>8748</v>
      </c>
    </row>
    <row r="2429" spans="1:9">
      <c r="A2429" t="str">
        <f>"0031448 "</f>
        <v xml:space="preserve">0031448 </v>
      </c>
      <c r="B2429" t="s">
        <v>5597</v>
      </c>
      <c r="C2429" t="s">
        <v>8749</v>
      </c>
      <c r="D2429" t="s">
        <v>8750</v>
      </c>
      <c r="E2429">
        <v>1</v>
      </c>
      <c r="F2429" t="s">
        <v>8751</v>
      </c>
      <c r="G2429" t="s">
        <v>5600</v>
      </c>
      <c r="H2429" t="s">
        <v>8752</v>
      </c>
      <c r="I2429" t="s">
        <v>8753</v>
      </c>
    </row>
    <row r="2430" spans="1:9">
      <c r="A2430" t="str">
        <f>"0031449 "</f>
        <v xml:space="preserve">0031449 </v>
      </c>
      <c r="B2430" t="s">
        <v>5597</v>
      </c>
      <c r="C2430" t="s">
        <v>8754</v>
      </c>
      <c r="D2430" t="s">
        <v>8755</v>
      </c>
      <c r="E2430">
        <v>1</v>
      </c>
      <c r="F2430" t="s">
        <v>5712</v>
      </c>
      <c r="G2430" t="s">
        <v>5600</v>
      </c>
      <c r="H2430" t="s">
        <v>8756</v>
      </c>
      <c r="I2430" t="s">
        <v>8753</v>
      </c>
    </row>
    <row r="2431" spans="1:9">
      <c r="A2431" t="str">
        <f>"0031456 "</f>
        <v xml:space="preserve">0031456 </v>
      </c>
      <c r="B2431" t="s">
        <v>5597</v>
      </c>
      <c r="C2431" t="s">
        <v>8757</v>
      </c>
      <c r="D2431" t="s">
        <v>8758</v>
      </c>
      <c r="E2431" t="s">
        <v>20</v>
      </c>
      <c r="F2431" t="s">
        <v>8759</v>
      </c>
      <c r="G2431" t="s">
        <v>5600</v>
      </c>
      <c r="H2431" t="s">
        <v>8760</v>
      </c>
      <c r="I2431" t="s">
        <v>8761</v>
      </c>
    </row>
    <row r="2432" spans="1:9">
      <c r="A2432" t="str">
        <f>"0031458 "</f>
        <v xml:space="preserve">0031458 </v>
      </c>
      <c r="B2432" t="s">
        <v>5597</v>
      </c>
      <c r="C2432" t="s">
        <v>8762</v>
      </c>
      <c r="D2432" t="s">
        <v>8763</v>
      </c>
      <c r="E2432">
        <v>1</v>
      </c>
      <c r="F2432" t="s">
        <v>8764</v>
      </c>
      <c r="G2432" t="s">
        <v>5600</v>
      </c>
      <c r="H2432" t="s">
        <v>8765</v>
      </c>
      <c r="I2432" t="s">
        <v>8766</v>
      </c>
    </row>
    <row r="2433" spans="1:9">
      <c r="A2433" t="str">
        <f>"0038208 "</f>
        <v xml:space="preserve">0038208 </v>
      </c>
      <c r="B2433" t="s">
        <v>5597</v>
      </c>
      <c r="C2433" t="s">
        <v>8767</v>
      </c>
      <c r="D2433" t="s">
        <v>8768</v>
      </c>
      <c r="E2433" t="s">
        <v>20</v>
      </c>
      <c r="F2433" t="s">
        <v>7311</v>
      </c>
      <c r="G2433" t="s">
        <v>5600</v>
      </c>
      <c r="H2433" t="s">
        <v>8769</v>
      </c>
      <c r="I2433" t="s">
        <v>8770</v>
      </c>
    </row>
    <row r="2434" spans="1:9">
      <c r="A2434" t="str">
        <f>"0031461 "</f>
        <v xml:space="preserve">0031461 </v>
      </c>
      <c r="B2434" t="s">
        <v>5597</v>
      </c>
      <c r="C2434" t="s">
        <v>8771</v>
      </c>
      <c r="D2434" t="s">
        <v>8772</v>
      </c>
      <c r="E2434" t="s">
        <v>20</v>
      </c>
      <c r="F2434" t="s">
        <v>8773</v>
      </c>
      <c r="G2434" t="s">
        <v>5600</v>
      </c>
      <c r="H2434" t="s">
        <v>8774</v>
      </c>
      <c r="I2434" t="s">
        <v>8775</v>
      </c>
    </row>
    <row r="2435" spans="1:9">
      <c r="A2435" t="str">
        <f>"0031464 "</f>
        <v xml:space="preserve">0031464 </v>
      </c>
      <c r="B2435" t="s">
        <v>5597</v>
      </c>
      <c r="C2435" t="s">
        <v>8776</v>
      </c>
      <c r="D2435" t="s">
        <v>8777</v>
      </c>
      <c r="E2435" t="s">
        <v>20</v>
      </c>
      <c r="F2435" t="s">
        <v>8778</v>
      </c>
      <c r="G2435" t="s">
        <v>5600</v>
      </c>
      <c r="H2435" t="s">
        <v>8779</v>
      </c>
      <c r="I2435" t="s">
        <v>8780</v>
      </c>
    </row>
    <row r="2436" spans="1:9">
      <c r="A2436" t="str">
        <f>"0031465 "</f>
        <v xml:space="preserve">0031465 </v>
      </c>
      <c r="B2436" t="s">
        <v>5597</v>
      </c>
      <c r="C2436" t="s">
        <v>8781</v>
      </c>
      <c r="D2436" t="s">
        <v>8782</v>
      </c>
      <c r="E2436">
        <v>2</v>
      </c>
      <c r="F2436" t="s">
        <v>8038</v>
      </c>
      <c r="G2436" t="s">
        <v>5600</v>
      </c>
      <c r="H2436" t="s">
        <v>8783</v>
      </c>
      <c r="I2436" t="s">
        <v>8784</v>
      </c>
    </row>
    <row r="2437" spans="1:9">
      <c r="A2437" t="str">
        <f>"0031468 "</f>
        <v xml:space="preserve">0031468 </v>
      </c>
      <c r="B2437" t="s">
        <v>5597</v>
      </c>
      <c r="C2437" t="s">
        <v>8785</v>
      </c>
      <c r="D2437" t="s">
        <v>8786</v>
      </c>
      <c r="E2437">
        <v>2</v>
      </c>
      <c r="F2437" t="s">
        <v>8787</v>
      </c>
      <c r="G2437" t="s">
        <v>5600</v>
      </c>
      <c r="H2437" t="s">
        <v>8788</v>
      </c>
      <c r="I2437" t="s">
        <v>8789</v>
      </c>
    </row>
    <row r="2438" spans="1:9">
      <c r="A2438" t="str">
        <f>"0031469 "</f>
        <v xml:space="preserve">0031469 </v>
      </c>
      <c r="B2438" t="s">
        <v>5597</v>
      </c>
      <c r="C2438" t="s">
        <v>8790</v>
      </c>
      <c r="D2438" t="s">
        <v>8791</v>
      </c>
      <c r="E2438">
        <v>1</v>
      </c>
      <c r="F2438" t="s">
        <v>8792</v>
      </c>
      <c r="G2438" t="s">
        <v>5600</v>
      </c>
      <c r="H2438" t="s">
        <v>8793</v>
      </c>
      <c r="I2438" t="s">
        <v>8789</v>
      </c>
    </row>
    <row r="2439" spans="1:9">
      <c r="A2439" t="str">
        <f>"0031471 "</f>
        <v xml:space="preserve">0031471 </v>
      </c>
      <c r="B2439" t="s">
        <v>5597</v>
      </c>
      <c r="C2439" t="s">
        <v>8794</v>
      </c>
      <c r="D2439" t="s">
        <v>8795</v>
      </c>
      <c r="E2439">
        <v>4</v>
      </c>
      <c r="F2439" t="s">
        <v>8719</v>
      </c>
      <c r="G2439" t="s">
        <v>5600</v>
      </c>
      <c r="H2439" t="s">
        <v>8796</v>
      </c>
      <c r="I2439" t="s">
        <v>8797</v>
      </c>
    </row>
    <row r="2440" spans="1:9">
      <c r="A2440" t="str">
        <f>"0031472 "</f>
        <v xml:space="preserve">0031472 </v>
      </c>
      <c r="B2440" t="s">
        <v>5597</v>
      </c>
      <c r="C2440" t="s">
        <v>8798</v>
      </c>
      <c r="D2440" t="s">
        <v>8799</v>
      </c>
      <c r="E2440" t="s">
        <v>20</v>
      </c>
      <c r="F2440" t="s">
        <v>8800</v>
      </c>
      <c r="G2440" t="s">
        <v>5600</v>
      </c>
      <c r="H2440" t="s">
        <v>8801</v>
      </c>
      <c r="I2440" t="s">
        <v>3538</v>
      </c>
    </row>
    <row r="2441" spans="1:9">
      <c r="A2441" t="str">
        <f>"0031474 "</f>
        <v xml:space="preserve">0031474 </v>
      </c>
      <c r="B2441" t="s">
        <v>5597</v>
      </c>
      <c r="C2441" t="s">
        <v>8802</v>
      </c>
      <c r="D2441" t="s">
        <v>8803</v>
      </c>
      <c r="E2441">
        <v>3</v>
      </c>
      <c r="F2441" t="s">
        <v>8570</v>
      </c>
      <c r="G2441" t="s">
        <v>5600</v>
      </c>
      <c r="H2441" t="s">
        <v>8804</v>
      </c>
      <c r="I2441" t="s">
        <v>3548</v>
      </c>
    </row>
    <row r="2442" spans="1:9">
      <c r="A2442" t="str">
        <f>"0031475 "</f>
        <v xml:space="preserve">0031475 </v>
      </c>
      <c r="B2442" t="s">
        <v>5597</v>
      </c>
      <c r="C2442" t="s">
        <v>8805</v>
      </c>
      <c r="D2442" t="s">
        <v>8806</v>
      </c>
      <c r="E2442">
        <v>2</v>
      </c>
      <c r="F2442" t="s">
        <v>5913</v>
      </c>
      <c r="G2442" t="s">
        <v>5600</v>
      </c>
      <c r="H2442" t="s">
        <v>8807</v>
      </c>
      <c r="I2442" t="s">
        <v>8808</v>
      </c>
    </row>
    <row r="2443" spans="1:9">
      <c r="A2443" t="str">
        <f>"0031476 "</f>
        <v xml:space="preserve">0031476 </v>
      </c>
      <c r="B2443" t="s">
        <v>5597</v>
      </c>
      <c r="C2443" t="s">
        <v>8809</v>
      </c>
      <c r="D2443" t="s">
        <v>8810</v>
      </c>
      <c r="E2443">
        <v>1</v>
      </c>
      <c r="F2443" t="s">
        <v>8161</v>
      </c>
      <c r="G2443" t="s">
        <v>5600</v>
      </c>
      <c r="H2443" t="s">
        <v>8811</v>
      </c>
      <c r="I2443" t="s">
        <v>8812</v>
      </c>
    </row>
    <row r="2444" spans="1:9">
      <c r="A2444" t="str">
        <f>"0031477 "</f>
        <v xml:space="preserve">0031477 </v>
      </c>
      <c r="B2444" t="s">
        <v>5597</v>
      </c>
      <c r="C2444" t="s">
        <v>8813</v>
      </c>
      <c r="D2444" t="s">
        <v>8814</v>
      </c>
      <c r="E2444" t="s">
        <v>20</v>
      </c>
      <c r="F2444" t="s">
        <v>8815</v>
      </c>
      <c r="G2444" t="s">
        <v>5600</v>
      </c>
      <c r="H2444" t="s">
        <v>8816</v>
      </c>
      <c r="I2444" t="s">
        <v>8817</v>
      </c>
    </row>
    <row r="2445" spans="1:9">
      <c r="A2445" t="str">
        <f>"0031478 "</f>
        <v xml:space="preserve">0031478 </v>
      </c>
      <c r="B2445" t="s">
        <v>5597</v>
      </c>
      <c r="C2445" t="s">
        <v>8818</v>
      </c>
      <c r="D2445" t="s">
        <v>8819</v>
      </c>
      <c r="E2445" t="s">
        <v>20</v>
      </c>
      <c r="F2445" t="s">
        <v>8326</v>
      </c>
      <c r="G2445" t="s">
        <v>5600</v>
      </c>
      <c r="H2445" t="s">
        <v>8820</v>
      </c>
      <c r="I2445" t="s">
        <v>8821</v>
      </c>
    </row>
    <row r="2446" spans="1:9">
      <c r="A2446" t="str">
        <f>"0031479 "</f>
        <v xml:space="preserve">0031479 </v>
      </c>
      <c r="B2446" t="s">
        <v>5597</v>
      </c>
      <c r="C2446" t="s">
        <v>8822</v>
      </c>
      <c r="D2446" t="s">
        <v>8823</v>
      </c>
      <c r="E2446">
        <v>1</v>
      </c>
      <c r="F2446" t="s">
        <v>5853</v>
      </c>
      <c r="G2446" t="s">
        <v>5600</v>
      </c>
      <c r="H2446" t="s">
        <v>8824</v>
      </c>
      <c r="I2446" t="s">
        <v>8825</v>
      </c>
    </row>
    <row r="2447" spans="1:9">
      <c r="A2447" t="str">
        <f>"0031480 "</f>
        <v xml:space="preserve">0031480 </v>
      </c>
      <c r="B2447" t="s">
        <v>5597</v>
      </c>
      <c r="C2447" t="s">
        <v>8826</v>
      </c>
      <c r="D2447" t="s">
        <v>8827</v>
      </c>
      <c r="E2447">
        <v>1</v>
      </c>
      <c r="F2447" t="s">
        <v>8828</v>
      </c>
      <c r="G2447" t="s">
        <v>5600</v>
      </c>
      <c r="H2447" t="s">
        <v>8829</v>
      </c>
      <c r="I2447" t="s">
        <v>8830</v>
      </c>
    </row>
    <row r="2448" spans="1:9">
      <c r="A2448" t="str">
        <f>"0031481 "</f>
        <v xml:space="preserve">0031481 </v>
      </c>
      <c r="B2448" t="s">
        <v>5597</v>
      </c>
      <c r="C2448" t="s">
        <v>8831</v>
      </c>
      <c r="D2448" t="s">
        <v>8832</v>
      </c>
      <c r="E2448" t="s">
        <v>20</v>
      </c>
      <c r="F2448" t="s">
        <v>8833</v>
      </c>
      <c r="G2448" t="s">
        <v>5600</v>
      </c>
      <c r="H2448" t="s">
        <v>8834</v>
      </c>
      <c r="I2448" t="s">
        <v>8835</v>
      </c>
    </row>
    <row r="2449" spans="1:9">
      <c r="A2449" t="str">
        <f>"0031482 "</f>
        <v xml:space="preserve">0031482 </v>
      </c>
      <c r="B2449" t="s">
        <v>5597</v>
      </c>
      <c r="C2449" t="s">
        <v>8836</v>
      </c>
      <c r="D2449" t="s">
        <v>8837</v>
      </c>
      <c r="E2449" t="s">
        <v>20</v>
      </c>
      <c r="F2449" t="s">
        <v>6417</v>
      </c>
      <c r="G2449" t="s">
        <v>5600</v>
      </c>
      <c r="H2449" t="s">
        <v>8838</v>
      </c>
      <c r="I2449" t="s">
        <v>897</v>
      </c>
    </row>
    <row r="2450" spans="1:9">
      <c r="A2450" t="str">
        <f>"0031483 "</f>
        <v xml:space="preserve">0031483 </v>
      </c>
      <c r="B2450" t="s">
        <v>5597</v>
      </c>
      <c r="C2450" t="s">
        <v>8839</v>
      </c>
      <c r="D2450" t="s">
        <v>8840</v>
      </c>
      <c r="E2450">
        <v>1</v>
      </c>
      <c r="F2450" t="s">
        <v>8841</v>
      </c>
      <c r="G2450" t="s">
        <v>5600</v>
      </c>
      <c r="H2450" t="s">
        <v>8842</v>
      </c>
      <c r="I2450" t="s">
        <v>901</v>
      </c>
    </row>
    <row r="2451" spans="1:9">
      <c r="A2451" t="str">
        <f>"0031484 "</f>
        <v xml:space="preserve">0031484 </v>
      </c>
      <c r="B2451" t="s">
        <v>5597</v>
      </c>
      <c r="C2451" t="s">
        <v>8843</v>
      </c>
      <c r="D2451" t="s">
        <v>8844</v>
      </c>
      <c r="E2451">
        <v>3</v>
      </c>
      <c r="F2451" t="s">
        <v>8845</v>
      </c>
      <c r="G2451" t="s">
        <v>5600</v>
      </c>
      <c r="H2451" t="s">
        <v>8846</v>
      </c>
      <c r="I2451" t="s">
        <v>2655</v>
      </c>
    </row>
    <row r="2452" spans="1:9">
      <c r="A2452" t="str">
        <f>"0031485 "</f>
        <v xml:space="preserve">0031485 </v>
      </c>
      <c r="B2452" t="s">
        <v>5597</v>
      </c>
      <c r="C2452" t="s">
        <v>8847</v>
      </c>
      <c r="D2452" t="s">
        <v>8848</v>
      </c>
      <c r="E2452">
        <v>1</v>
      </c>
      <c r="F2452" t="s">
        <v>8849</v>
      </c>
      <c r="G2452" t="s">
        <v>5600</v>
      </c>
      <c r="H2452" t="s">
        <v>8850</v>
      </c>
      <c r="I2452" t="s">
        <v>8851</v>
      </c>
    </row>
    <row r="2453" spans="1:9">
      <c r="A2453" t="str">
        <f>"0086622 "</f>
        <v xml:space="preserve">0086622 </v>
      </c>
      <c r="B2453" t="s">
        <v>5597</v>
      </c>
      <c r="C2453" t="s">
        <v>8852</v>
      </c>
      <c r="D2453" t="s">
        <v>8853</v>
      </c>
      <c r="E2453">
        <v>1</v>
      </c>
      <c r="F2453" t="s">
        <v>8854</v>
      </c>
      <c r="G2453" t="s">
        <v>5600</v>
      </c>
      <c r="H2453" t="s">
        <v>8855</v>
      </c>
      <c r="I2453" t="s">
        <v>8856</v>
      </c>
    </row>
    <row r="2454" spans="1:9">
      <c r="A2454" t="str">
        <f>"0031487 "</f>
        <v xml:space="preserve">0031487 </v>
      </c>
      <c r="B2454" t="s">
        <v>5597</v>
      </c>
      <c r="C2454" t="s">
        <v>8857</v>
      </c>
      <c r="D2454" t="s">
        <v>8858</v>
      </c>
      <c r="E2454">
        <v>1</v>
      </c>
      <c r="F2454" t="s">
        <v>7965</v>
      </c>
      <c r="G2454" t="s">
        <v>5600</v>
      </c>
      <c r="H2454" t="s">
        <v>8859</v>
      </c>
      <c r="I2454" t="s">
        <v>8860</v>
      </c>
    </row>
    <row r="2455" spans="1:9">
      <c r="A2455" t="str">
        <f>"0038745 "</f>
        <v xml:space="preserve">0038745 </v>
      </c>
      <c r="B2455" t="s">
        <v>5597</v>
      </c>
      <c r="C2455" t="s">
        <v>8861</v>
      </c>
      <c r="D2455" t="s">
        <v>8862</v>
      </c>
      <c r="E2455">
        <v>2</v>
      </c>
      <c r="F2455" t="s">
        <v>8863</v>
      </c>
      <c r="G2455" t="s">
        <v>5600</v>
      </c>
      <c r="H2455" t="s">
        <v>8864</v>
      </c>
      <c r="I2455" t="s">
        <v>8865</v>
      </c>
    </row>
    <row r="2456" spans="1:9">
      <c r="A2456" t="str">
        <f>"0031489 "</f>
        <v xml:space="preserve">0031489 </v>
      </c>
      <c r="B2456" t="s">
        <v>5597</v>
      </c>
      <c r="C2456" t="s">
        <v>8866</v>
      </c>
      <c r="D2456" t="s">
        <v>8867</v>
      </c>
      <c r="E2456">
        <v>2</v>
      </c>
      <c r="F2456" t="s">
        <v>8863</v>
      </c>
      <c r="G2456" t="s">
        <v>5600</v>
      </c>
      <c r="H2456" t="s">
        <v>8868</v>
      </c>
      <c r="I2456" t="s">
        <v>8865</v>
      </c>
    </row>
    <row r="2457" spans="1:9">
      <c r="A2457" t="str">
        <f>"0031492 "</f>
        <v xml:space="preserve">0031492 </v>
      </c>
      <c r="B2457" t="s">
        <v>5597</v>
      </c>
      <c r="C2457" t="s">
        <v>8869</v>
      </c>
      <c r="D2457" t="s">
        <v>8870</v>
      </c>
      <c r="E2457">
        <v>4</v>
      </c>
      <c r="F2457" t="s">
        <v>8871</v>
      </c>
      <c r="G2457" t="s">
        <v>5600</v>
      </c>
      <c r="H2457" t="s">
        <v>8872</v>
      </c>
      <c r="I2457" t="s">
        <v>8873</v>
      </c>
    </row>
    <row r="2458" spans="1:9">
      <c r="A2458" t="str">
        <f>"0031493 "</f>
        <v xml:space="preserve">0031493 </v>
      </c>
      <c r="B2458" t="s">
        <v>5597</v>
      </c>
      <c r="C2458" t="s">
        <v>8874</v>
      </c>
      <c r="D2458" t="s">
        <v>8875</v>
      </c>
      <c r="E2458" t="s">
        <v>20</v>
      </c>
      <c r="F2458" t="s">
        <v>8876</v>
      </c>
      <c r="G2458" t="s">
        <v>5600</v>
      </c>
      <c r="H2458" t="s">
        <v>8877</v>
      </c>
      <c r="I2458" t="s">
        <v>823</v>
      </c>
    </row>
    <row r="2459" spans="1:9">
      <c r="A2459" t="str">
        <f>"0031494 "</f>
        <v xml:space="preserve">0031494 </v>
      </c>
      <c r="B2459" t="s">
        <v>5597</v>
      </c>
      <c r="C2459" t="s">
        <v>8878</v>
      </c>
      <c r="D2459" t="s">
        <v>8879</v>
      </c>
      <c r="E2459" t="s">
        <v>20</v>
      </c>
      <c r="F2459" t="s">
        <v>8880</v>
      </c>
      <c r="G2459" t="s">
        <v>5600</v>
      </c>
      <c r="H2459" t="s">
        <v>8881</v>
      </c>
      <c r="I2459" t="s">
        <v>8882</v>
      </c>
    </row>
    <row r="2460" spans="1:9">
      <c r="A2460" t="str">
        <f>"0031497 "</f>
        <v xml:space="preserve">0031497 </v>
      </c>
      <c r="B2460" t="s">
        <v>5597</v>
      </c>
      <c r="C2460" t="s">
        <v>8883</v>
      </c>
      <c r="D2460" t="s">
        <v>8884</v>
      </c>
      <c r="E2460">
        <v>1</v>
      </c>
      <c r="F2460" t="s">
        <v>6770</v>
      </c>
      <c r="G2460" t="s">
        <v>5600</v>
      </c>
      <c r="H2460" t="s">
        <v>8885</v>
      </c>
      <c r="I2460" t="s">
        <v>8886</v>
      </c>
    </row>
    <row r="2461" spans="1:9">
      <c r="A2461" t="str">
        <f>"0031500 "</f>
        <v xml:space="preserve">0031500 </v>
      </c>
      <c r="B2461" t="s">
        <v>5597</v>
      </c>
      <c r="C2461" t="s">
        <v>8887</v>
      </c>
      <c r="D2461" t="s">
        <v>8888</v>
      </c>
      <c r="E2461">
        <v>2</v>
      </c>
      <c r="F2461" t="s">
        <v>8889</v>
      </c>
      <c r="G2461" t="s">
        <v>5600</v>
      </c>
      <c r="H2461" t="s">
        <v>8890</v>
      </c>
      <c r="I2461" t="s">
        <v>8891</v>
      </c>
    </row>
    <row r="2462" spans="1:9">
      <c r="A2462" t="str">
        <f>"0031502 "</f>
        <v xml:space="preserve">0031502 </v>
      </c>
      <c r="B2462" t="s">
        <v>5597</v>
      </c>
      <c r="C2462" t="s">
        <v>8892</v>
      </c>
      <c r="D2462" t="s">
        <v>8893</v>
      </c>
      <c r="E2462">
        <v>1</v>
      </c>
      <c r="F2462" t="s">
        <v>6703</v>
      </c>
      <c r="G2462" t="s">
        <v>5600</v>
      </c>
      <c r="H2462" t="s">
        <v>8894</v>
      </c>
      <c r="I2462" t="s">
        <v>8895</v>
      </c>
    </row>
    <row r="2463" spans="1:9">
      <c r="A2463" t="str">
        <f>"0031507 "</f>
        <v xml:space="preserve">0031507 </v>
      </c>
      <c r="B2463" t="s">
        <v>5597</v>
      </c>
      <c r="C2463" t="s">
        <v>8896</v>
      </c>
      <c r="D2463" t="s">
        <v>8897</v>
      </c>
      <c r="E2463">
        <v>3</v>
      </c>
      <c r="F2463" t="s">
        <v>8405</v>
      </c>
      <c r="G2463" t="s">
        <v>5600</v>
      </c>
      <c r="H2463" t="s">
        <v>8898</v>
      </c>
      <c r="I2463" t="s">
        <v>8899</v>
      </c>
    </row>
    <row r="2464" spans="1:9">
      <c r="A2464" t="str">
        <f>"0031508 "</f>
        <v xml:space="preserve">0031508 </v>
      </c>
      <c r="B2464" t="s">
        <v>5597</v>
      </c>
      <c r="C2464" t="s">
        <v>8900</v>
      </c>
      <c r="D2464" t="s">
        <v>8901</v>
      </c>
      <c r="E2464" t="s">
        <v>20</v>
      </c>
      <c r="F2464" t="s">
        <v>8902</v>
      </c>
      <c r="G2464" t="s">
        <v>5600</v>
      </c>
      <c r="H2464" t="s">
        <v>8903</v>
      </c>
      <c r="I2464" t="s">
        <v>8904</v>
      </c>
    </row>
    <row r="2465" spans="1:9">
      <c r="A2465" t="str">
        <f>"0031510 "</f>
        <v xml:space="preserve">0031510 </v>
      </c>
      <c r="B2465" t="s">
        <v>5597</v>
      </c>
      <c r="C2465" t="s">
        <v>8905</v>
      </c>
      <c r="D2465" t="s">
        <v>8906</v>
      </c>
      <c r="E2465">
        <v>2</v>
      </c>
      <c r="F2465" t="s">
        <v>8849</v>
      </c>
      <c r="G2465" t="s">
        <v>5600</v>
      </c>
      <c r="H2465" t="s">
        <v>8907</v>
      </c>
      <c r="I2465" t="s">
        <v>4792</v>
      </c>
    </row>
    <row r="2466" spans="1:9">
      <c r="A2466" t="str">
        <f>"0031516 "</f>
        <v xml:space="preserve">0031516 </v>
      </c>
      <c r="B2466" t="s">
        <v>5597</v>
      </c>
      <c r="C2466" t="s">
        <v>8908</v>
      </c>
      <c r="D2466" t="s">
        <v>8909</v>
      </c>
      <c r="E2466">
        <v>1</v>
      </c>
      <c r="F2466" t="s">
        <v>8910</v>
      </c>
      <c r="G2466" t="s">
        <v>5600</v>
      </c>
      <c r="H2466" t="s">
        <v>8911</v>
      </c>
      <c r="I2466" t="s">
        <v>8912</v>
      </c>
    </row>
    <row r="2467" spans="1:9">
      <c r="A2467" t="str">
        <f>"0031517 "</f>
        <v xml:space="preserve">0031517 </v>
      </c>
      <c r="B2467" t="s">
        <v>5597</v>
      </c>
      <c r="C2467" t="s">
        <v>8913</v>
      </c>
      <c r="D2467" t="s">
        <v>8914</v>
      </c>
      <c r="E2467">
        <v>1</v>
      </c>
      <c r="F2467" t="s">
        <v>7061</v>
      </c>
      <c r="G2467" t="s">
        <v>5600</v>
      </c>
      <c r="H2467" t="s">
        <v>8915</v>
      </c>
      <c r="I2467" t="s">
        <v>8916</v>
      </c>
    </row>
    <row r="2468" spans="1:9">
      <c r="A2468" t="str">
        <f>"0031518 "</f>
        <v xml:space="preserve">0031518 </v>
      </c>
      <c r="B2468" t="s">
        <v>5597</v>
      </c>
      <c r="C2468" t="s">
        <v>8917</v>
      </c>
      <c r="D2468" t="s">
        <v>8918</v>
      </c>
      <c r="E2468">
        <v>5</v>
      </c>
      <c r="F2468" t="s">
        <v>8919</v>
      </c>
      <c r="G2468" t="s">
        <v>5600</v>
      </c>
      <c r="H2468" t="s">
        <v>8920</v>
      </c>
      <c r="I2468" t="s">
        <v>8921</v>
      </c>
    </row>
    <row r="2469" spans="1:9">
      <c r="A2469" t="str">
        <f>"0031519 "</f>
        <v xml:space="preserve">0031519 </v>
      </c>
      <c r="B2469" t="s">
        <v>5597</v>
      </c>
      <c r="C2469" t="s">
        <v>8922</v>
      </c>
      <c r="D2469" t="s">
        <v>8923</v>
      </c>
      <c r="E2469" t="s">
        <v>20</v>
      </c>
      <c r="F2469" t="s">
        <v>8924</v>
      </c>
      <c r="G2469" t="s">
        <v>5600</v>
      </c>
      <c r="H2469" t="s">
        <v>8925</v>
      </c>
      <c r="I2469" t="s">
        <v>8926</v>
      </c>
    </row>
    <row r="2470" spans="1:9">
      <c r="A2470" t="str">
        <f>"0031520 "</f>
        <v xml:space="preserve">0031520 </v>
      </c>
      <c r="B2470" t="s">
        <v>5597</v>
      </c>
      <c r="C2470" t="s">
        <v>8927</v>
      </c>
      <c r="D2470" t="s">
        <v>8928</v>
      </c>
      <c r="E2470">
        <v>3</v>
      </c>
      <c r="F2470" t="s">
        <v>8929</v>
      </c>
      <c r="G2470" t="s">
        <v>5600</v>
      </c>
      <c r="H2470" t="s">
        <v>8930</v>
      </c>
      <c r="I2470" t="s">
        <v>8931</v>
      </c>
    </row>
    <row r="2471" spans="1:9">
      <c r="A2471" t="str">
        <f>"0031521 "</f>
        <v xml:space="preserve">0031521 </v>
      </c>
      <c r="B2471" t="s">
        <v>5597</v>
      </c>
      <c r="C2471" t="s">
        <v>8932</v>
      </c>
      <c r="D2471" t="s">
        <v>8933</v>
      </c>
      <c r="E2471">
        <v>3</v>
      </c>
      <c r="F2471" t="s">
        <v>8934</v>
      </c>
      <c r="G2471" t="s">
        <v>5600</v>
      </c>
      <c r="H2471" t="s">
        <v>8935</v>
      </c>
      <c r="I2471" t="s">
        <v>8936</v>
      </c>
    </row>
    <row r="2472" spans="1:9">
      <c r="A2472" t="str">
        <f>"0031522 "</f>
        <v xml:space="preserve">0031522 </v>
      </c>
      <c r="B2472" t="s">
        <v>5597</v>
      </c>
      <c r="C2472" t="s">
        <v>8937</v>
      </c>
      <c r="D2472" t="s">
        <v>8938</v>
      </c>
      <c r="E2472">
        <v>3</v>
      </c>
      <c r="F2472" t="s">
        <v>8939</v>
      </c>
      <c r="G2472" t="s">
        <v>5600</v>
      </c>
      <c r="H2472" t="s">
        <v>8940</v>
      </c>
      <c r="I2472" t="s">
        <v>8941</v>
      </c>
    </row>
    <row r="2473" spans="1:9">
      <c r="A2473" t="str">
        <f>"0048810 "</f>
        <v xml:space="preserve">0048810 </v>
      </c>
      <c r="B2473" t="s">
        <v>5597</v>
      </c>
      <c r="C2473" t="s">
        <v>8942</v>
      </c>
      <c r="D2473" t="s">
        <v>8943</v>
      </c>
      <c r="E2473">
        <v>2</v>
      </c>
      <c r="F2473" t="s">
        <v>8944</v>
      </c>
      <c r="G2473" t="s">
        <v>5600</v>
      </c>
      <c r="H2473" t="s">
        <v>8945</v>
      </c>
      <c r="I2473" t="s">
        <v>8946</v>
      </c>
    </row>
    <row r="2474" spans="1:9">
      <c r="A2474" t="str">
        <f>"0031525 "</f>
        <v xml:space="preserve">0031525 </v>
      </c>
      <c r="B2474" t="s">
        <v>5597</v>
      </c>
      <c r="C2474" t="s">
        <v>8947</v>
      </c>
      <c r="D2474" t="s">
        <v>8948</v>
      </c>
      <c r="E2474" t="s">
        <v>20</v>
      </c>
      <c r="F2474" t="s">
        <v>8944</v>
      </c>
      <c r="G2474" t="s">
        <v>5600</v>
      </c>
      <c r="H2474" t="s">
        <v>8949</v>
      </c>
      <c r="I2474" t="s">
        <v>8950</v>
      </c>
    </row>
    <row r="2475" spans="1:9">
      <c r="A2475" t="str">
        <f>"0031526 "</f>
        <v xml:space="preserve">0031526 </v>
      </c>
      <c r="B2475" t="s">
        <v>5597</v>
      </c>
      <c r="C2475" t="s">
        <v>8951</v>
      </c>
      <c r="D2475" t="s">
        <v>8952</v>
      </c>
      <c r="E2475">
        <v>4</v>
      </c>
      <c r="F2475" t="s">
        <v>8953</v>
      </c>
      <c r="G2475" t="s">
        <v>5600</v>
      </c>
      <c r="H2475" t="s">
        <v>8954</v>
      </c>
      <c r="I2475" t="s">
        <v>8955</v>
      </c>
    </row>
    <row r="2476" spans="1:9">
      <c r="A2476" t="str">
        <f>"0031527 "</f>
        <v xml:space="preserve">0031527 </v>
      </c>
      <c r="B2476" t="s">
        <v>5597</v>
      </c>
      <c r="C2476" t="s">
        <v>8956</v>
      </c>
      <c r="D2476" t="s">
        <v>8957</v>
      </c>
      <c r="E2476" t="s">
        <v>20</v>
      </c>
      <c r="F2476" t="s">
        <v>8958</v>
      </c>
      <c r="G2476" t="s">
        <v>5600</v>
      </c>
      <c r="H2476" t="s">
        <v>8959</v>
      </c>
      <c r="I2476" t="s">
        <v>3480</v>
      </c>
    </row>
    <row r="2477" spans="1:9">
      <c r="A2477" t="str">
        <f>"0031531 "</f>
        <v xml:space="preserve">0031531 </v>
      </c>
      <c r="B2477" t="s">
        <v>5597</v>
      </c>
      <c r="C2477" t="s">
        <v>8960</v>
      </c>
      <c r="D2477" t="s">
        <v>8961</v>
      </c>
      <c r="E2477">
        <v>4</v>
      </c>
      <c r="F2477" t="s">
        <v>8962</v>
      </c>
      <c r="G2477" t="s">
        <v>5600</v>
      </c>
      <c r="H2477" t="s">
        <v>8963</v>
      </c>
      <c r="I2477" t="s">
        <v>8964</v>
      </c>
    </row>
    <row r="2478" spans="1:9">
      <c r="A2478" t="str">
        <f>"0031532 "</f>
        <v xml:space="preserve">0031532 </v>
      </c>
      <c r="B2478" t="s">
        <v>5597</v>
      </c>
      <c r="C2478" t="s">
        <v>8965</v>
      </c>
      <c r="D2478" t="s">
        <v>8966</v>
      </c>
      <c r="E2478">
        <v>1</v>
      </c>
      <c r="F2478" t="s">
        <v>8667</v>
      </c>
      <c r="G2478" t="s">
        <v>5600</v>
      </c>
      <c r="H2478" t="s">
        <v>8967</v>
      </c>
      <c r="I2478" t="s">
        <v>8968</v>
      </c>
    </row>
    <row r="2479" spans="1:9">
      <c r="A2479" t="str">
        <f>"0031533 "</f>
        <v xml:space="preserve">0031533 </v>
      </c>
      <c r="B2479" t="s">
        <v>5597</v>
      </c>
      <c r="C2479" t="s">
        <v>8969</v>
      </c>
      <c r="D2479" t="s">
        <v>8970</v>
      </c>
      <c r="E2479" t="s">
        <v>20</v>
      </c>
      <c r="F2479" t="s">
        <v>7467</v>
      </c>
      <c r="G2479" t="s">
        <v>5600</v>
      </c>
      <c r="H2479" t="s">
        <v>8971</v>
      </c>
      <c r="I2479" t="s">
        <v>2571</v>
      </c>
    </row>
    <row r="2480" spans="1:9">
      <c r="A2480" t="str">
        <f>"0031534 "</f>
        <v xml:space="preserve">0031534 </v>
      </c>
      <c r="B2480" t="s">
        <v>5597</v>
      </c>
      <c r="C2480" t="s">
        <v>8972</v>
      </c>
      <c r="D2480" t="s">
        <v>8973</v>
      </c>
      <c r="E2480" t="s">
        <v>20</v>
      </c>
      <c r="F2480" t="s">
        <v>8974</v>
      </c>
      <c r="G2480" t="s">
        <v>5600</v>
      </c>
      <c r="H2480" t="s">
        <v>8975</v>
      </c>
      <c r="I2480" t="s">
        <v>8976</v>
      </c>
    </row>
    <row r="2481" spans="1:9">
      <c r="A2481" t="str">
        <f>"0031535 "</f>
        <v xml:space="preserve">0031535 </v>
      </c>
      <c r="B2481" t="s">
        <v>5597</v>
      </c>
      <c r="C2481" t="s">
        <v>8977</v>
      </c>
      <c r="D2481" t="s">
        <v>8978</v>
      </c>
      <c r="E2481">
        <v>1</v>
      </c>
      <c r="F2481" t="s">
        <v>8979</v>
      </c>
      <c r="G2481" t="s">
        <v>5600</v>
      </c>
      <c r="H2481" t="s">
        <v>8980</v>
      </c>
      <c r="I2481" t="s">
        <v>8981</v>
      </c>
    </row>
    <row r="2482" spans="1:9">
      <c r="A2482" t="str">
        <f>"0031538 "</f>
        <v xml:space="preserve">0031538 </v>
      </c>
      <c r="B2482" t="s">
        <v>5597</v>
      </c>
      <c r="C2482" t="s">
        <v>8982</v>
      </c>
      <c r="D2482" t="s">
        <v>8983</v>
      </c>
      <c r="E2482">
        <v>1</v>
      </c>
      <c r="F2482" t="s">
        <v>8984</v>
      </c>
      <c r="G2482" t="s">
        <v>5600</v>
      </c>
      <c r="H2482" t="s">
        <v>8985</v>
      </c>
      <c r="I2482" t="s">
        <v>916</v>
      </c>
    </row>
    <row r="2483" spans="1:9">
      <c r="A2483" t="str">
        <f>"0031540 "</f>
        <v xml:space="preserve">0031540 </v>
      </c>
      <c r="B2483" t="s">
        <v>5597</v>
      </c>
      <c r="C2483" t="s">
        <v>8986</v>
      </c>
      <c r="D2483" t="s">
        <v>8987</v>
      </c>
      <c r="E2483">
        <v>1</v>
      </c>
      <c r="F2483" t="s">
        <v>8988</v>
      </c>
      <c r="G2483" t="s">
        <v>5600</v>
      </c>
      <c r="H2483" t="s">
        <v>8989</v>
      </c>
      <c r="I2483" t="s">
        <v>8990</v>
      </c>
    </row>
    <row r="2484" spans="1:9">
      <c r="A2484" t="str">
        <f>"0031544 "</f>
        <v xml:space="preserve">0031544 </v>
      </c>
      <c r="B2484" t="s">
        <v>5597</v>
      </c>
      <c r="C2484" t="s">
        <v>8991</v>
      </c>
      <c r="D2484" t="s">
        <v>8992</v>
      </c>
      <c r="E2484" t="s">
        <v>20</v>
      </c>
      <c r="F2484" t="s">
        <v>7965</v>
      </c>
      <c r="G2484" t="s">
        <v>5600</v>
      </c>
      <c r="H2484" t="s">
        <v>8993</v>
      </c>
      <c r="I2484" t="s">
        <v>8994</v>
      </c>
    </row>
    <row r="2485" spans="1:9">
      <c r="A2485" t="str">
        <f>"0031545 "</f>
        <v xml:space="preserve">0031545 </v>
      </c>
      <c r="B2485" t="s">
        <v>5597</v>
      </c>
      <c r="C2485" t="s">
        <v>8995</v>
      </c>
      <c r="D2485" t="s">
        <v>8996</v>
      </c>
      <c r="E2485" t="s">
        <v>20</v>
      </c>
      <c r="F2485" t="s">
        <v>5673</v>
      </c>
      <c r="G2485" t="s">
        <v>5600</v>
      </c>
      <c r="H2485" t="s">
        <v>8997</v>
      </c>
      <c r="I2485" t="s">
        <v>8998</v>
      </c>
    </row>
    <row r="2486" spans="1:9">
      <c r="A2486" t="str">
        <f>"0031546 "</f>
        <v xml:space="preserve">0031546 </v>
      </c>
      <c r="B2486" t="s">
        <v>5597</v>
      </c>
      <c r="C2486" t="s">
        <v>8999</v>
      </c>
      <c r="D2486" t="s">
        <v>9000</v>
      </c>
      <c r="E2486" t="s">
        <v>20</v>
      </c>
      <c r="F2486" t="s">
        <v>9001</v>
      </c>
      <c r="G2486" t="s">
        <v>5600</v>
      </c>
      <c r="H2486" t="s">
        <v>9002</v>
      </c>
      <c r="I2486" t="s">
        <v>9003</v>
      </c>
    </row>
    <row r="2487" spans="1:9">
      <c r="A2487" t="str">
        <f>"0031547 "</f>
        <v xml:space="preserve">0031547 </v>
      </c>
      <c r="B2487" t="s">
        <v>5597</v>
      </c>
      <c r="C2487" t="s">
        <v>9004</v>
      </c>
      <c r="D2487" t="s">
        <v>9005</v>
      </c>
      <c r="E2487">
        <v>1</v>
      </c>
      <c r="F2487" t="s">
        <v>9006</v>
      </c>
      <c r="G2487" t="s">
        <v>5600</v>
      </c>
      <c r="H2487" t="s">
        <v>9007</v>
      </c>
      <c r="I2487" t="s">
        <v>9008</v>
      </c>
    </row>
    <row r="2488" spans="1:9">
      <c r="A2488" t="str">
        <f>"0031551 "</f>
        <v xml:space="preserve">0031551 </v>
      </c>
      <c r="B2488" t="s">
        <v>5597</v>
      </c>
      <c r="C2488" t="s">
        <v>9009</v>
      </c>
      <c r="D2488" t="s">
        <v>9010</v>
      </c>
      <c r="E2488">
        <v>1</v>
      </c>
      <c r="F2488" t="s">
        <v>9011</v>
      </c>
      <c r="G2488" t="s">
        <v>5600</v>
      </c>
      <c r="H2488" t="s">
        <v>9012</v>
      </c>
      <c r="I2488" t="s">
        <v>9013</v>
      </c>
    </row>
    <row r="2489" spans="1:9">
      <c r="A2489" t="str">
        <f>"0039054 "</f>
        <v xml:space="preserve">0039054 </v>
      </c>
      <c r="B2489" t="s">
        <v>5597</v>
      </c>
      <c r="C2489" t="s">
        <v>9014</v>
      </c>
      <c r="D2489" t="s">
        <v>9015</v>
      </c>
      <c r="E2489">
        <v>1</v>
      </c>
      <c r="F2489" t="s">
        <v>9016</v>
      </c>
      <c r="G2489" t="s">
        <v>5600</v>
      </c>
      <c r="H2489" t="s">
        <v>9017</v>
      </c>
      <c r="I2489" t="s">
        <v>9018</v>
      </c>
    </row>
    <row r="2490" spans="1:9">
      <c r="A2490" t="str">
        <f>"0031552 "</f>
        <v xml:space="preserve">0031552 </v>
      </c>
      <c r="B2490" t="s">
        <v>5597</v>
      </c>
      <c r="C2490" t="s">
        <v>9019</v>
      </c>
      <c r="D2490" t="s">
        <v>9020</v>
      </c>
      <c r="E2490">
        <v>2</v>
      </c>
      <c r="F2490" t="s">
        <v>9021</v>
      </c>
      <c r="G2490" t="s">
        <v>5600</v>
      </c>
      <c r="H2490" t="s">
        <v>9022</v>
      </c>
      <c r="I2490" t="s">
        <v>9023</v>
      </c>
    </row>
    <row r="2491" spans="1:9">
      <c r="A2491" t="str">
        <f>"0031553 "</f>
        <v xml:space="preserve">0031553 </v>
      </c>
      <c r="B2491" t="s">
        <v>5597</v>
      </c>
      <c r="C2491" t="s">
        <v>9024</v>
      </c>
      <c r="D2491" t="s">
        <v>9025</v>
      </c>
      <c r="E2491">
        <v>2</v>
      </c>
      <c r="F2491" t="s">
        <v>6672</v>
      </c>
      <c r="G2491" t="s">
        <v>5600</v>
      </c>
      <c r="H2491" t="s">
        <v>9026</v>
      </c>
      <c r="I2491" t="s">
        <v>9027</v>
      </c>
    </row>
    <row r="2492" spans="1:9">
      <c r="A2492" t="str">
        <f>"0031554 "</f>
        <v xml:space="preserve">0031554 </v>
      </c>
      <c r="B2492" t="s">
        <v>5597</v>
      </c>
      <c r="C2492" t="s">
        <v>9028</v>
      </c>
      <c r="D2492" t="s">
        <v>9029</v>
      </c>
      <c r="E2492">
        <v>2</v>
      </c>
      <c r="F2492" t="s">
        <v>6770</v>
      </c>
      <c r="G2492" t="s">
        <v>5600</v>
      </c>
      <c r="H2492" t="s">
        <v>9030</v>
      </c>
      <c r="I2492" t="s">
        <v>9031</v>
      </c>
    </row>
    <row r="2493" spans="1:9">
      <c r="A2493" t="str">
        <f>"0038684 "</f>
        <v xml:space="preserve">0038684 </v>
      </c>
      <c r="B2493" t="s">
        <v>5597</v>
      </c>
      <c r="C2493" t="s">
        <v>9032</v>
      </c>
      <c r="D2493" t="s">
        <v>9033</v>
      </c>
      <c r="E2493">
        <v>3</v>
      </c>
      <c r="F2493" t="s">
        <v>6770</v>
      </c>
      <c r="G2493" t="s">
        <v>5600</v>
      </c>
      <c r="H2493" t="s">
        <v>9034</v>
      </c>
      <c r="I2493" t="s">
        <v>9031</v>
      </c>
    </row>
    <row r="2494" spans="1:9">
      <c r="A2494" t="str">
        <f>"0031555 "</f>
        <v xml:space="preserve">0031555 </v>
      </c>
      <c r="B2494" t="s">
        <v>5597</v>
      </c>
      <c r="C2494" t="s">
        <v>9035</v>
      </c>
      <c r="D2494" t="s">
        <v>9036</v>
      </c>
      <c r="E2494" t="s">
        <v>20</v>
      </c>
      <c r="F2494" t="s">
        <v>9037</v>
      </c>
      <c r="G2494" t="s">
        <v>5600</v>
      </c>
      <c r="H2494" t="s">
        <v>9038</v>
      </c>
      <c r="I2494" t="s">
        <v>9039</v>
      </c>
    </row>
    <row r="2495" spans="1:9">
      <c r="A2495" t="str">
        <f>"0031556 "</f>
        <v xml:space="preserve">0031556 </v>
      </c>
      <c r="B2495" t="s">
        <v>5597</v>
      </c>
      <c r="C2495" t="s">
        <v>9040</v>
      </c>
      <c r="D2495" t="s">
        <v>9041</v>
      </c>
      <c r="E2495">
        <v>1</v>
      </c>
      <c r="F2495" t="s">
        <v>6899</v>
      </c>
      <c r="G2495" t="s">
        <v>5600</v>
      </c>
      <c r="H2495" t="s">
        <v>9042</v>
      </c>
      <c r="I2495" t="s">
        <v>9043</v>
      </c>
    </row>
    <row r="2496" spans="1:9">
      <c r="A2496" t="str">
        <f>"0031557 "</f>
        <v xml:space="preserve">0031557 </v>
      </c>
      <c r="B2496" t="s">
        <v>5597</v>
      </c>
      <c r="C2496" t="s">
        <v>9044</v>
      </c>
      <c r="D2496" t="s">
        <v>9045</v>
      </c>
      <c r="E2496">
        <v>1</v>
      </c>
      <c r="F2496" t="s">
        <v>5876</v>
      </c>
      <c r="G2496" t="s">
        <v>5600</v>
      </c>
      <c r="H2496" t="s">
        <v>9046</v>
      </c>
      <c r="I2496" t="s">
        <v>9047</v>
      </c>
    </row>
    <row r="2497" spans="1:9">
      <c r="A2497" t="str">
        <f>"0031560 "</f>
        <v xml:space="preserve">0031560 </v>
      </c>
      <c r="B2497" t="s">
        <v>5597</v>
      </c>
      <c r="C2497" t="s">
        <v>9048</v>
      </c>
      <c r="D2497" t="s">
        <v>9049</v>
      </c>
      <c r="E2497">
        <v>3</v>
      </c>
      <c r="F2497" t="s">
        <v>6435</v>
      </c>
      <c r="G2497" t="s">
        <v>5600</v>
      </c>
      <c r="H2497" t="s">
        <v>9050</v>
      </c>
      <c r="I2497" t="s">
        <v>9051</v>
      </c>
    </row>
    <row r="2498" spans="1:9">
      <c r="A2498" t="str">
        <f>"0031561 "</f>
        <v xml:space="preserve">0031561 </v>
      </c>
      <c r="B2498" t="s">
        <v>5597</v>
      </c>
      <c r="C2498" t="s">
        <v>9052</v>
      </c>
      <c r="D2498" t="s">
        <v>9053</v>
      </c>
      <c r="E2498">
        <v>3</v>
      </c>
      <c r="F2498" t="s">
        <v>9054</v>
      </c>
      <c r="G2498" t="s">
        <v>5600</v>
      </c>
      <c r="H2498" t="s">
        <v>9055</v>
      </c>
      <c r="I2498" t="s">
        <v>9056</v>
      </c>
    </row>
    <row r="2499" spans="1:9">
      <c r="A2499" t="str">
        <f>"0031562 "</f>
        <v xml:space="preserve">0031562 </v>
      </c>
      <c r="B2499" t="s">
        <v>5597</v>
      </c>
      <c r="C2499" t="s">
        <v>9057</v>
      </c>
      <c r="D2499" t="s">
        <v>9058</v>
      </c>
      <c r="E2499" t="s">
        <v>20</v>
      </c>
      <c r="F2499" t="s">
        <v>9059</v>
      </c>
      <c r="G2499" t="s">
        <v>5600</v>
      </c>
      <c r="H2499" t="s">
        <v>9060</v>
      </c>
      <c r="I2499" t="s">
        <v>9061</v>
      </c>
    </row>
    <row r="2500" spans="1:9">
      <c r="A2500" t="str">
        <f>"0031563 "</f>
        <v xml:space="preserve">0031563 </v>
      </c>
      <c r="B2500" t="s">
        <v>5597</v>
      </c>
      <c r="C2500" t="s">
        <v>9062</v>
      </c>
      <c r="D2500" t="s">
        <v>9063</v>
      </c>
      <c r="E2500">
        <v>2</v>
      </c>
      <c r="F2500" t="s">
        <v>9064</v>
      </c>
      <c r="G2500" t="s">
        <v>5600</v>
      </c>
      <c r="H2500" t="s">
        <v>9065</v>
      </c>
      <c r="I2500" t="s">
        <v>9066</v>
      </c>
    </row>
    <row r="2501" spans="1:9">
      <c r="A2501" t="str">
        <f>"0031564 "</f>
        <v xml:space="preserve">0031564 </v>
      </c>
      <c r="B2501" t="s">
        <v>5597</v>
      </c>
      <c r="C2501" t="s">
        <v>9067</v>
      </c>
      <c r="D2501" t="s">
        <v>9068</v>
      </c>
      <c r="E2501">
        <v>1</v>
      </c>
      <c r="F2501" t="s">
        <v>9069</v>
      </c>
      <c r="G2501" t="s">
        <v>5600</v>
      </c>
      <c r="H2501" t="s">
        <v>9070</v>
      </c>
      <c r="I2501" t="s">
        <v>9071</v>
      </c>
    </row>
    <row r="2502" spans="1:9">
      <c r="A2502" t="str">
        <f>"0031566 "</f>
        <v xml:space="preserve">0031566 </v>
      </c>
      <c r="B2502" t="s">
        <v>5597</v>
      </c>
      <c r="C2502" t="s">
        <v>9072</v>
      </c>
      <c r="D2502" t="s">
        <v>9073</v>
      </c>
      <c r="E2502" t="s">
        <v>20</v>
      </c>
      <c r="F2502" t="s">
        <v>9074</v>
      </c>
      <c r="G2502" t="s">
        <v>5600</v>
      </c>
      <c r="H2502" t="s">
        <v>9075</v>
      </c>
      <c r="I2502" t="s">
        <v>9076</v>
      </c>
    </row>
    <row r="2503" spans="1:9">
      <c r="A2503" t="str">
        <f>"0031570 "</f>
        <v xml:space="preserve">0031570 </v>
      </c>
      <c r="B2503" t="s">
        <v>5597</v>
      </c>
      <c r="C2503" t="s">
        <v>9077</v>
      </c>
      <c r="D2503" t="s">
        <v>9078</v>
      </c>
      <c r="E2503">
        <v>1</v>
      </c>
      <c r="F2503" t="s">
        <v>9079</v>
      </c>
      <c r="G2503" t="s">
        <v>5600</v>
      </c>
      <c r="H2503" t="s">
        <v>9080</v>
      </c>
      <c r="I2503" t="s">
        <v>9081</v>
      </c>
    </row>
    <row r="2504" spans="1:9">
      <c r="A2504" t="str">
        <f>"0031571 "</f>
        <v xml:space="preserve">0031571 </v>
      </c>
      <c r="B2504" t="s">
        <v>5597</v>
      </c>
      <c r="C2504" t="s">
        <v>9082</v>
      </c>
      <c r="D2504" t="s">
        <v>9083</v>
      </c>
      <c r="E2504">
        <v>2</v>
      </c>
      <c r="F2504" t="s">
        <v>5987</v>
      </c>
      <c r="G2504" t="s">
        <v>5600</v>
      </c>
      <c r="H2504" t="s">
        <v>9084</v>
      </c>
      <c r="I2504" t="s">
        <v>9085</v>
      </c>
    </row>
    <row r="2505" spans="1:9">
      <c r="A2505" t="str">
        <f>"0031572 "</f>
        <v xml:space="preserve">0031572 </v>
      </c>
      <c r="B2505" t="s">
        <v>5597</v>
      </c>
      <c r="C2505" t="s">
        <v>9086</v>
      </c>
      <c r="D2505" t="s">
        <v>9087</v>
      </c>
      <c r="E2505" t="s">
        <v>20</v>
      </c>
      <c r="F2505" t="s">
        <v>9088</v>
      </c>
      <c r="G2505" t="s">
        <v>5600</v>
      </c>
      <c r="H2505" t="s">
        <v>9089</v>
      </c>
      <c r="I2505" t="s">
        <v>9090</v>
      </c>
    </row>
    <row r="2506" spans="1:9">
      <c r="A2506" t="str">
        <f>"0031574 "</f>
        <v xml:space="preserve">0031574 </v>
      </c>
      <c r="B2506" t="s">
        <v>5597</v>
      </c>
      <c r="C2506" t="s">
        <v>9091</v>
      </c>
      <c r="D2506" t="s">
        <v>9092</v>
      </c>
      <c r="E2506">
        <v>1</v>
      </c>
      <c r="F2506" t="s">
        <v>9093</v>
      </c>
      <c r="G2506" t="s">
        <v>5600</v>
      </c>
      <c r="H2506" t="s">
        <v>9094</v>
      </c>
      <c r="I2506" t="s">
        <v>9095</v>
      </c>
    </row>
    <row r="2507" spans="1:9">
      <c r="A2507" t="str">
        <f>"0031577 "</f>
        <v xml:space="preserve">0031577 </v>
      </c>
      <c r="B2507" t="s">
        <v>5597</v>
      </c>
      <c r="C2507" t="s">
        <v>9096</v>
      </c>
      <c r="D2507" t="s">
        <v>9097</v>
      </c>
      <c r="E2507">
        <v>2</v>
      </c>
      <c r="F2507" t="s">
        <v>6590</v>
      </c>
      <c r="G2507" t="s">
        <v>5600</v>
      </c>
      <c r="H2507" t="s">
        <v>9098</v>
      </c>
      <c r="I2507" t="s">
        <v>861</v>
      </c>
    </row>
    <row r="2508" spans="1:9">
      <c r="A2508" t="str">
        <f>"0031581 "</f>
        <v xml:space="preserve">0031581 </v>
      </c>
      <c r="B2508" t="s">
        <v>5597</v>
      </c>
      <c r="C2508" t="s">
        <v>9099</v>
      </c>
      <c r="D2508" t="s">
        <v>9100</v>
      </c>
      <c r="E2508">
        <v>2</v>
      </c>
      <c r="F2508" t="s">
        <v>8889</v>
      </c>
      <c r="G2508" t="s">
        <v>5600</v>
      </c>
      <c r="H2508" t="s">
        <v>9101</v>
      </c>
      <c r="I2508" t="s">
        <v>4741</v>
      </c>
    </row>
    <row r="2509" spans="1:9">
      <c r="A2509" t="str">
        <f>"0031583 "</f>
        <v xml:space="preserve">0031583 </v>
      </c>
      <c r="B2509" t="s">
        <v>5597</v>
      </c>
      <c r="C2509" t="s">
        <v>9102</v>
      </c>
      <c r="D2509" t="s">
        <v>9103</v>
      </c>
      <c r="E2509">
        <v>2</v>
      </c>
      <c r="F2509" t="s">
        <v>8410</v>
      </c>
      <c r="G2509" t="s">
        <v>5600</v>
      </c>
      <c r="H2509" t="s">
        <v>9104</v>
      </c>
      <c r="I2509" t="s">
        <v>2631</v>
      </c>
    </row>
    <row r="2510" spans="1:9">
      <c r="A2510" t="str">
        <f>"0031590 "</f>
        <v xml:space="preserve">0031590 </v>
      </c>
      <c r="B2510" t="s">
        <v>5597</v>
      </c>
      <c r="C2510" t="s">
        <v>9105</v>
      </c>
      <c r="D2510" t="s">
        <v>9106</v>
      </c>
      <c r="E2510">
        <v>4</v>
      </c>
      <c r="F2510" t="s">
        <v>9107</v>
      </c>
      <c r="G2510" t="s">
        <v>5600</v>
      </c>
      <c r="H2510" t="s">
        <v>9108</v>
      </c>
      <c r="I2510" t="s">
        <v>8314</v>
      </c>
    </row>
    <row r="2511" spans="1:9">
      <c r="A2511" t="str">
        <f>"0031591 "</f>
        <v xml:space="preserve">0031591 </v>
      </c>
      <c r="B2511" t="s">
        <v>5597</v>
      </c>
      <c r="C2511" t="s">
        <v>9109</v>
      </c>
      <c r="D2511" t="s">
        <v>9110</v>
      </c>
      <c r="E2511">
        <v>1</v>
      </c>
      <c r="F2511" t="s">
        <v>9111</v>
      </c>
      <c r="G2511" t="s">
        <v>5600</v>
      </c>
      <c r="H2511" t="s">
        <v>9112</v>
      </c>
      <c r="I2511" t="s">
        <v>9113</v>
      </c>
    </row>
    <row r="2512" spans="1:9">
      <c r="A2512" t="str">
        <f>"0031592 "</f>
        <v xml:space="preserve">0031592 </v>
      </c>
      <c r="B2512" t="s">
        <v>5597</v>
      </c>
      <c r="C2512" t="s">
        <v>9114</v>
      </c>
      <c r="D2512" t="s">
        <v>9115</v>
      </c>
      <c r="E2512">
        <v>1</v>
      </c>
      <c r="F2512" t="s">
        <v>5794</v>
      </c>
      <c r="G2512" t="s">
        <v>5600</v>
      </c>
      <c r="H2512" t="s">
        <v>9116</v>
      </c>
      <c r="I2512" t="s">
        <v>9117</v>
      </c>
    </row>
    <row r="2513" spans="1:9">
      <c r="A2513" t="str">
        <f>"0031594 "</f>
        <v xml:space="preserve">0031594 </v>
      </c>
      <c r="B2513" t="s">
        <v>5597</v>
      </c>
      <c r="C2513" t="s">
        <v>9118</v>
      </c>
      <c r="D2513" t="s">
        <v>9119</v>
      </c>
      <c r="E2513">
        <v>2</v>
      </c>
      <c r="F2513" t="s">
        <v>9120</v>
      </c>
      <c r="G2513" t="s">
        <v>5600</v>
      </c>
      <c r="H2513" t="s">
        <v>9121</v>
      </c>
      <c r="I2513" t="s">
        <v>8323</v>
      </c>
    </row>
    <row r="2514" spans="1:9">
      <c r="A2514" t="str">
        <f>"0031601 "</f>
        <v xml:space="preserve">0031601 </v>
      </c>
      <c r="B2514" t="s">
        <v>5597</v>
      </c>
      <c r="C2514" t="s">
        <v>9122</v>
      </c>
      <c r="D2514" t="s">
        <v>9123</v>
      </c>
      <c r="E2514">
        <v>2</v>
      </c>
      <c r="F2514" t="s">
        <v>6249</v>
      </c>
      <c r="G2514" t="s">
        <v>5600</v>
      </c>
      <c r="H2514" t="s">
        <v>9124</v>
      </c>
      <c r="I2514" t="s">
        <v>879</v>
      </c>
    </row>
    <row r="2515" spans="1:9">
      <c r="A2515" t="str">
        <f>"0031603 "</f>
        <v xml:space="preserve">0031603 </v>
      </c>
      <c r="B2515" t="s">
        <v>5597</v>
      </c>
      <c r="C2515" t="s">
        <v>9125</v>
      </c>
      <c r="D2515" t="s">
        <v>9126</v>
      </c>
      <c r="E2515">
        <v>2</v>
      </c>
      <c r="F2515" t="s">
        <v>9127</v>
      </c>
      <c r="G2515" t="s">
        <v>5600</v>
      </c>
      <c r="H2515" t="s">
        <v>9128</v>
      </c>
      <c r="I2515" t="s">
        <v>9129</v>
      </c>
    </row>
    <row r="2516" spans="1:9">
      <c r="A2516" t="str">
        <f>"0031605 "</f>
        <v xml:space="preserve">0031605 </v>
      </c>
      <c r="B2516" t="s">
        <v>5597</v>
      </c>
      <c r="C2516" t="s">
        <v>9130</v>
      </c>
      <c r="D2516" t="s">
        <v>9131</v>
      </c>
      <c r="E2516">
        <v>2</v>
      </c>
      <c r="F2516" t="s">
        <v>3367</v>
      </c>
      <c r="G2516" t="s">
        <v>5600</v>
      </c>
      <c r="H2516" t="s">
        <v>9132</v>
      </c>
      <c r="I2516" t="s">
        <v>9133</v>
      </c>
    </row>
    <row r="2517" spans="1:9">
      <c r="A2517" t="str">
        <f>"0031606 "</f>
        <v xml:space="preserve">0031606 </v>
      </c>
      <c r="B2517" t="s">
        <v>5597</v>
      </c>
      <c r="C2517" t="s">
        <v>9134</v>
      </c>
      <c r="D2517" t="s">
        <v>9135</v>
      </c>
      <c r="E2517">
        <v>1</v>
      </c>
      <c r="F2517" t="s">
        <v>7281</v>
      </c>
      <c r="G2517" t="s">
        <v>5600</v>
      </c>
      <c r="H2517" t="s">
        <v>9136</v>
      </c>
      <c r="I2517" t="s">
        <v>9137</v>
      </c>
    </row>
    <row r="2518" spans="1:9">
      <c r="A2518" t="str">
        <f>"0031630 "</f>
        <v xml:space="preserve">0031630 </v>
      </c>
      <c r="B2518" t="s">
        <v>5597</v>
      </c>
      <c r="C2518" t="s">
        <v>9138</v>
      </c>
      <c r="D2518" t="s">
        <v>9139</v>
      </c>
      <c r="E2518">
        <v>2</v>
      </c>
      <c r="F2518" t="s">
        <v>9140</v>
      </c>
      <c r="G2518" t="s">
        <v>5600</v>
      </c>
      <c r="H2518" t="s">
        <v>9141</v>
      </c>
      <c r="I2518" t="s">
        <v>9142</v>
      </c>
    </row>
    <row r="2519" spans="1:9">
      <c r="A2519" t="str">
        <f>"0031633 "</f>
        <v xml:space="preserve">0031633 </v>
      </c>
      <c r="B2519" t="s">
        <v>5597</v>
      </c>
      <c r="C2519" t="s">
        <v>9143</v>
      </c>
      <c r="D2519" t="s">
        <v>9144</v>
      </c>
      <c r="E2519">
        <v>2</v>
      </c>
      <c r="F2519" t="s">
        <v>9145</v>
      </c>
      <c r="G2519" t="s">
        <v>5600</v>
      </c>
      <c r="H2519" t="s">
        <v>9146</v>
      </c>
      <c r="I2519" t="s">
        <v>9147</v>
      </c>
    </row>
    <row r="2520" spans="1:9">
      <c r="A2520" t="str">
        <f>"0031634 "</f>
        <v xml:space="preserve">0031634 </v>
      </c>
      <c r="B2520" t="s">
        <v>5597</v>
      </c>
      <c r="C2520" t="s">
        <v>9148</v>
      </c>
      <c r="D2520" t="s">
        <v>9149</v>
      </c>
      <c r="E2520">
        <v>2</v>
      </c>
      <c r="F2520" t="s">
        <v>9150</v>
      </c>
      <c r="G2520" t="s">
        <v>5600</v>
      </c>
      <c r="H2520" t="s">
        <v>9151</v>
      </c>
      <c r="I2520" t="s">
        <v>9152</v>
      </c>
    </row>
    <row r="2521" spans="1:9">
      <c r="A2521" t="str">
        <f>"0031658 "</f>
        <v xml:space="preserve">0031658 </v>
      </c>
      <c r="B2521" t="s">
        <v>5597</v>
      </c>
      <c r="C2521" t="s">
        <v>9153</v>
      </c>
      <c r="D2521" t="s">
        <v>9154</v>
      </c>
      <c r="E2521">
        <v>1</v>
      </c>
      <c r="F2521" t="s">
        <v>5651</v>
      </c>
      <c r="G2521" t="s">
        <v>5600</v>
      </c>
      <c r="H2521" t="s">
        <v>9155</v>
      </c>
      <c r="I2521" t="s">
        <v>9156</v>
      </c>
    </row>
    <row r="2522" spans="1:9">
      <c r="A2522" t="str">
        <f>"0031660 "</f>
        <v xml:space="preserve">0031660 </v>
      </c>
      <c r="B2522" t="s">
        <v>5597</v>
      </c>
      <c r="C2522" t="s">
        <v>9157</v>
      </c>
      <c r="D2522" t="s">
        <v>9158</v>
      </c>
      <c r="E2522" t="s">
        <v>20</v>
      </c>
      <c r="F2522" t="s">
        <v>8302</v>
      </c>
      <c r="G2522" t="s">
        <v>5600</v>
      </c>
      <c r="H2522" t="s">
        <v>9159</v>
      </c>
      <c r="I2522" t="s">
        <v>9160</v>
      </c>
    </row>
    <row r="2523" spans="1:9">
      <c r="A2523" t="str">
        <f>"0031661 "</f>
        <v xml:space="preserve">0031661 </v>
      </c>
      <c r="B2523" t="s">
        <v>5597</v>
      </c>
      <c r="C2523" t="s">
        <v>9161</v>
      </c>
      <c r="D2523" t="s">
        <v>9162</v>
      </c>
      <c r="E2523">
        <v>1</v>
      </c>
      <c r="F2523" t="s">
        <v>7119</v>
      </c>
      <c r="G2523" t="s">
        <v>5600</v>
      </c>
      <c r="H2523" t="s">
        <v>9163</v>
      </c>
      <c r="I2523" t="s">
        <v>9164</v>
      </c>
    </row>
    <row r="2524" spans="1:9">
      <c r="A2524" t="str">
        <f>"0031662 "</f>
        <v xml:space="preserve">0031662 </v>
      </c>
      <c r="B2524" t="s">
        <v>5597</v>
      </c>
      <c r="C2524" t="s">
        <v>9165</v>
      </c>
      <c r="D2524" t="s">
        <v>9166</v>
      </c>
      <c r="E2524">
        <v>2</v>
      </c>
      <c r="F2524" t="s">
        <v>7931</v>
      </c>
      <c r="G2524" t="s">
        <v>5600</v>
      </c>
      <c r="H2524" t="s">
        <v>9167</v>
      </c>
      <c r="I2524" t="s">
        <v>9168</v>
      </c>
    </row>
    <row r="2525" spans="1:9">
      <c r="A2525" t="str">
        <f>"0031685 "</f>
        <v xml:space="preserve">0031685 </v>
      </c>
      <c r="B2525" t="s">
        <v>5597</v>
      </c>
      <c r="C2525" t="s">
        <v>9169</v>
      </c>
      <c r="D2525" t="s">
        <v>9170</v>
      </c>
      <c r="E2525">
        <v>1</v>
      </c>
      <c r="F2525" t="s">
        <v>9171</v>
      </c>
      <c r="G2525" t="s">
        <v>5600</v>
      </c>
      <c r="H2525" t="s">
        <v>9172</v>
      </c>
      <c r="I2525" t="s">
        <v>9173</v>
      </c>
    </row>
    <row r="2526" spans="1:9">
      <c r="A2526" t="str">
        <f>"0031686 "</f>
        <v xml:space="preserve">0031686 </v>
      </c>
      <c r="B2526" t="s">
        <v>5597</v>
      </c>
      <c r="C2526" t="s">
        <v>9174</v>
      </c>
      <c r="D2526" t="s">
        <v>9175</v>
      </c>
      <c r="E2526">
        <v>3</v>
      </c>
      <c r="F2526" t="s">
        <v>9176</v>
      </c>
      <c r="G2526" t="s">
        <v>5600</v>
      </c>
      <c r="H2526" t="s">
        <v>9177</v>
      </c>
      <c r="I2526" t="s">
        <v>9178</v>
      </c>
    </row>
    <row r="2527" spans="1:9">
      <c r="A2527" t="str">
        <f>"0031704 "</f>
        <v xml:space="preserve">0031704 </v>
      </c>
      <c r="B2527" t="s">
        <v>5597</v>
      </c>
      <c r="C2527" t="s">
        <v>9179</v>
      </c>
      <c r="D2527" t="s">
        <v>9180</v>
      </c>
      <c r="E2527">
        <v>5</v>
      </c>
      <c r="F2527" t="s">
        <v>9181</v>
      </c>
      <c r="G2527" t="s">
        <v>5600</v>
      </c>
      <c r="H2527" t="s">
        <v>9182</v>
      </c>
      <c r="I2527" t="s">
        <v>2635</v>
      </c>
    </row>
    <row r="2528" spans="1:9">
      <c r="A2528" t="str">
        <f>"0031705 "</f>
        <v xml:space="preserve">0031705 </v>
      </c>
      <c r="B2528" t="s">
        <v>5597</v>
      </c>
      <c r="C2528" t="s">
        <v>9183</v>
      </c>
      <c r="D2528" t="s">
        <v>9184</v>
      </c>
      <c r="E2528">
        <v>2</v>
      </c>
      <c r="F2528" t="s">
        <v>5997</v>
      </c>
      <c r="G2528" t="s">
        <v>5600</v>
      </c>
      <c r="H2528" t="s">
        <v>9185</v>
      </c>
      <c r="I2528" t="s">
        <v>4704</v>
      </c>
    </row>
    <row r="2529" spans="1:9">
      <c r="A2529" t="str">
        <f>"0086626 "</f>
        <v xml:space="preserve">0086626 </v>
      </c>
      <c r="B2529" t="s">
        <v>5597</v>
      </c>
      <c r="C2529" t="s">
        <v>9186</v>
      </c>
      <c r="D2529" t="s">
        <v>9187</v>
      </c>
      <c r="E2529">
        <v>1</v>
      </c>
      <c r="F2529" t="s">
        <v>9188</v>
      </c>
      <c r="G2529" t="s">
        <v>5600</v>
      </c>
      <c r="H2529" t="s">
        <v>9189</v>
      </c>
      <c r="I2529" t="s">
        <v>9190</v>
      </c>
    </row>
    <row r="2530" spans="1:9">
      <c r="A2530" t="str">
        <f>"0031707 "</f>
        <v xml:space="preserve">0031707 </v>
      </c>
      <c r="B2530" t="s">
        <v>5597</v>
      </c>
      <c r="C2530" t="s">
        <v>9191</v>
      </c>
      <c r="D2530" t="s">
        <v>9192</v>
      </c>
      <c r="E2530">
        <v>2</v>
      </c>
      <c r="F2530" t="s">
        <v>6847</v>
      </c>
      <c r="G2530" t="s">
        <v>5600</v>
      </c>
      <c r="H2530" t="s">
        <v>9193</v>
      </c>
      <c r="I2530" t="s">
        <v>9194</v>
      </c>
    </row>
    <row r="2531" spans="1:9">
      <c r="A2531" t="str">
        <f>"0031712 "</f>
        <v xml:space="preserve">0031712 </v>
      </c>
      <c r="B2531" t="s">
        <v>5597</v>
      </c>
      <c r="C2531" t="s">
        <v>9195</v>
      </c>
      <c r="D2531" t="s">
        <v>9196</v>
      </c>
      <c r="E2531">
        <v>1</v>
      </c>
      <c r="F2531" t="s">
        <v>9197</v>
      </c>
      <c r="G2531" t="s">
        <v>5600</v>
      </c>
      <c r="H2531" t="s">
        <v>9198</v>
      </c>
      <c r="I2531" t="s">
        <v>9199</v>
      </c>
    </row>
    <row r="2532" spans="1:9">
      <c r="A2532" t="str">
        <f>"0031713 "</f>
        <v xml:space="preserve">0031713 </v>
      </c>
      <c r="B2532" t="s">
        <v>5597</v>
      </c>
      <c r="C2532" t="s">
        <v>9200</v>
      </c>
      <c r="D2532" t="s">
        <v>9201</v>
      </c>
      <c r="E2532">
        <v>1</v>
      </c>
      <c r="F2532" t="s">
        <v>9202</v>
      </c>
      <c r="G2532" t="s">
        <v>5600</v>
      </c>
      <c r="H2532" t="s">
        <v>9203</v>
      </c>
      <c r="I2532" t="s">
        <v>2478</v>
      </c>
    </row>
    <row r="2533" spans="1:9">
      <c r="A2533" t="str">
        <f>"0031716 "</f>
        <v xml:space="preserve">0031716 </v>
      </c>
      <c r="B2533" t="s">
        <v>5597</v>
      </c>
      <c r="C2533" t="s">
        <v>9204</v>
      </c>
      <c r="D2533" t="s">
        <v>9205</v>
      </c>
      <c r="E2533" t="s">
        <v>20</v>
      </c>
      <c r="F2533" t="s">
        <v>7747</v>
      </c>
      <c r="G2533" t="s">
        <v>5600</v>
      </c>
      <c r="H2533" t="s">
        <v>9206</v>
      </c>
      <c r="I2533" t="s">
        <v>2435</v>
      </c>
    </row>
    <row r="2534" spans="1:9">
      <c r="A2534" t="str">
        <f>"0031719 "</f>
        <v xml:space="preserve">0031719 </v>
      </c>
      <c r="B2534" t="s">
        <v>5597</v>
      </c>
      <c r="C2534" t="s">
        <v>9207</v>
      </c>
      <c r="D2534" t="s">
        <v>9208</v>
      </c>
      <c r="E2534">
        <v>1</v>
      </c>
      <c r="F2534" t="s">
        <v>9209</v>
      </c>
      <c r="G2534" t="s">
        <v>5600</v>
      </c>
      <c r="H2534" t="s">
        <v>9210</v>
      </c>
      <c r="I2534" t="s">
        <v>9211</v>
      </c>
    </row>
    <row r="2535" spans="1:9">
      <c r="A2535" t="str">
        <f>"0031731 "</f>
        <v xml:space="preserve">0031731 </v>
      </c>
      <c r="B2535" t="s">
        <v>5597</v>
      </c>
      <c r="C2535" t="s">
        <v>9212</v>
      </c>
      <c r="D2535" t="s">
        <v>9213</v>
      </c>
      <c r="E2535">
        <v>2</v>
      </c>
      <c r="F2535" t="s">
        <v>9214</v>
      </c>
      <c r="G2535" t="s">
        <v>5600</v>
      </c>
      <c r="H2535" t="s">
        <v>9215</v>
      </c>
      <c r="I2535" t="s">
        <v>9216</v>
      </c>
    </row>
    <row r="2536" spans="1:9">
      <c r="A2536" t="str">
        <f>"0031738 "</f>
        <v xml:space="preserve">0031738 </v>
      </c>
      <c r="B2536" t="s">
        <v>5597</v>
      </c>
      <c r="C2536" t="s">
        <v>9217</v>
      </c>
      <c r="D2536" t="s">
        <v>9218</v>
      </c>
      <c r="E2536">
        <v>1</v>
      </c>
      <c r="F2536" t="s">
        <v>9219</v>
      </c>
      <c r="G2536" t="s">
        <v>5600</v>
      </c>
      <c r="H2536" t="s">
        <v>9220</v>
      </c>
      <c r="I2536" t="s">
        <v>9221</v>
      </c>
    </row>
    <row r="2537" spans="1:9">
      <c r="A2537" t="str">
        <f>"0031741 "</f>
        <v xml:space="preserve">0031741 </v>
      </c>
      <c r="B2537" t="s">
        <v>5597</v>
      </c>
      <c r="C2537" t="s">
        <v>9222</v>
      </c>
      <c r="D2537" t="s">
        <v>9223</v>
      </c>
      <c r="E2537">
        <v>2</v>
      </c>
      <c r="F2537" t="s">
        <v>9224</v>
      </c>
      <c r="G2537" t="s">
        <v>5600</v>
      </c>
      <c r="H2537" t="s">
        <v>9225</v>
      </c>
      <c r="I2537" t="s">
        <v>2639</v>
      </c>
    </row>
    <row r="2538" spans="1:9">
      <c r="A2538" t="str">
        <f>"0031742 "</f>
        <v xml:space="preserve">0031742 </v>
      </c>
      <c r="B2538" t="s">
        <v>5597</v>
      </c>
      <c r="C2538" t="s">
        <v>9226</v>
      </c>
      <c r="D2538" t="s">
        <v>9227</v>
      </c>
      <c r="E2538">
        <v>3</v>
      </c>
      <c r="F2538" t="s">
        <v>7090</v>
      </c>
      <c r="G2538" t="s">
        <v>5600</v>
      </c>
      <c r="H2538" t="s">
        <v>9228</v>
      </c>
      <c r="I2538" t="s">
        <v>9229</v>
      </c>
    </row>
    <row r="2539" spans="1:9">
      <c r="A2539" t="str">
        <f>"0031744 "</f>
        <v xml:space="preserve">0031744 </v>
      </c>
      <c r="B2539" t="s">
        <v>5597</v>
      </c>
      <c r="C2539" t="s">
        <v>9230</v>
      </c>
      <c r="D2539" t="s">
        <v>9231</v>
      </c>
      <c r="E2539" t="s">
        <v>20</v>
      </c>
      <c r="F2539" t="s">
        <v>900</v>
      </c>
      <c r="G2539" t="s">
        <v>5600</v>
      </c>
      <c r="H2539" t="s">
        <v>9232</v>
      </c>
      <c r="I2539" t="s">
        <v>9233</v>
      </c>
    </row>
    <row r="2540" spans="1:9">
      <c r="A2540" t="str">
        <f>"0031745 "</f>
        <v xml:space="preserve">0031745 </v>
      </c>
      <c r="B2540" t="s">
        <v>5597</v>
      </c>
      <c r="C2540" t="s">
        <v>9234</v>
      </c>
      <c r="D2540" t="s">
        <v>9235</v>
      </c>
      <c r="E2540">
        <v>2</v>
      </c>
      <c r="F2540" t="s">
        <v>9236</v>
      </c>
      <c r="G2540" t="s">
        <v>5600</v>
      </c>
      <c r="H2540" t="s">
        <v>9237</v>
      </c>
      <c r="I2540" t="s">
        <v>9238</v>
      </c>
    </row>
    <row r="2541" spans="1:9">
      <c r="A2541" t="str">
        <f>"0031746 "</f>
        <v xml:space="preserve">0031746 </v>
      </c>
      <c r="B2541" t="s">
        <v>5597</v>
      </c>
      <c r="C2541" t="s">
        <v>9239</v>
      </c>
      <c r="D2541" t="s">
        <v>9240</v>
      </c>
      <c r="E2541">
        <v>3</v>
      </c>
      <c r="F2541" t="s">
        <v>9241</v>
      </c>
      <c r="G2541" t="s">
        <v>5600</v>
      </c>
      <c r="H2541" t="s">
        <v>9242</v>
      </c>
      <c r="I2541" t="s">
        <v>2423</v>
      </c>
    </row>
    <row r="2542" spans="1:9">
      <c r="A2542" t="str">
        <f>"0031747 "</f>
        <v xml:space="preserve">0031747 </v>
      </c>
      <c r="B2542" t="s">
        <v>5597</v>
      </c>
      <c r="C2542" t="s">
        <v>9243</v>
      </c>
      <c r="D2542" t="s">
        <v>9244</v>
      </c>
      <c r="E2542">
        <v>2</v>
      </c>
      <c r="F2542" t="s">
        <v>9245</v>
      </c>
      <c r="G2542" t="s">
        <v>5600</v>
      </c>
      <c r="H2542" t="s">
        <v>9246</v>
      </c>
      <c r="I2542" t="s">
        <v>9247</v>
      </c>
    </row>
    <row r="2543" spans="1:9">
      <c r="A2543" t="str">
        <f>"0031749 "</f>
        <v xml:space="preserve">0031749 </v>
      </c>
      <c r="B2543" t="s">
        <v>5597</v>
      </c>
      <c r="C2543" t="s">
        <v>9248</v>
      </c>
      <c r="D2543" t="s">
        <v>9249</v>
      </c>
      <c r="E2543">
        <v>1</v>
      </c>
      <c r="F2543" t="s">
        <v>9250</v>
      </c>
      <c r="G2543" t="s">
        <v>5600</v>
      </c>
      <c r="H2543" t="s">
        <v>9251</v>
      </c>
      <c r="I2543" t="s">
        <v>4862</v>
      </c>
    </row>
    <row r="2544" spans="1:9">
      <c r="A2544" t="str">
        <f>"0038221 "</f>
        <v xml:space="preserve">0038221 </v>
      </c>
      <c r="B2544" t="s">
        <v>5597</v>
      </c>
      <c r="C2544" t="s">
        <v>9252</v>
      </c>
      <c r="D2544" t="s">
        <v>9253</v>
      </c>
      <c r="E2544">
        <v>1</v>
      </c>
      <c r="F2544" t="s">
        <v>9254</v>
      </c>
      <c r="G2544" t="s">
        <v>5600</v>
      </c>
      <c r="H2544" t="s">
        <v>9255</v>
      </c>
      <c r="I2544" t="s">
        <v>9256</v>
      </c>
    </row>
    <row r="2545" spans="1:9">
      <c r="A2545" t="str">
        <f>"0031754 "</f>
        <v xml:space="preserve">0031754 </v>
      </c>
      <c r="B2545" t="s">
        <v>5597</v>
      </c>
      <c r="C2545" t="s">
        <v>9257</v>
      </c>
      <c r="D2545" t="s">
        <v>9258</v>
      </c>
      <c r="E2545">
        <v>1</v>
      </c>
      <c r="F2545" t="s">
        <v>6750</v>
      </c>
      <c r="G2545" t="s">
        <v>5600</v>
      </c>
      <c r="H2545" t="s">
        <v>9259</v>
      </c>
      <c r="I2545" t="s">
        <v>9260</v>
      </c>
    </row>
    <row r="2546" spans="1:9">
      <c r="A2546" t="str">
        <f>"0031759 "</f>
        <v xml:space="preserve">0031759 </v>
      </c>
      <c r="B2546" t="s">
        <v>5597</v>
      </c>
      <c r="C2546" t="s">
        <v>9261</v>
      </c>
      <c r="D2546" t="s">
        <v>9262</v>
      </c>
      <c r="E2546">
        <v>1</v>
      </c>
      <c r="F2546" t="s">
        <v>6402</v>
      </c>
      <c r="G2546" t="s">
        <v>5600</v>
      </c>
      <c r="H2546" t="s">
        <v>9263</v>
      </c>
      <c r="I2546" t="s">
        <v>9264</v>
      </c>
    </row>
    <row r="2547" spans="1:9">
      <c r="A2547" t="str">
        <f>"0031761 "</f>
        <v xml:space="preserve">0031761 </v>
      </c>
      <c r="B2547" t="s">
        <v>5597</v>
      </c>
      <c r="C2547" t="s">
        <v>9265</v>
      </c>
      <c r="D2547" t="s">
        <v>9266</v>
      </c>
      <c r="E2547">
        <v>2</v>
      </c>
      <c r="F2547" t="s">
        <v>9267</v>
      </c>
      <c r="G2547" t="s">
        <v>5600</v>
      </c>
      <c r="H2547" t="s">
        <v>9268</v>
      </c>
      <c r="I2547" t="s">
        <v>9269</v>
      </c>
    </row>
    <row r="2548" spans="1:9">
      <c r="A2548" t="str">
        <f>"0031765 "</f>
        <v xml:space="preserve">0031765 </v>
      </c>
      <c r="B2548" t="s">
        <v>5597</v>
      </c>
      <c r="C2548" t="s">
        <v>9270</v>
      </c>
      <c r="D2548" t="s">
        <v>9271</v>
      </c>
      <c r="E2548">
        <v>2</v>
      </c>
      <c r="F2548" t="s">
        <v>9272</v>
      </c>
      <c r="G2548" t="s">
        <v>5600</v>
      </c>
      <c r="H2548" t="s">
        <v>9273</v>
      </c>
      <c r="I2548" t="s">
        <v>952</v>
      </c>
    </row>
    <row r="2549" spans="1:9">
      <c r="A2549" t="str">
        <f>"0031766 "</f>
        <v xml:space="preserve">0031766 </v>
      </c>
      <c r="B2549" t="s">
        <v>5597</v>
      </c>
      <c r="C2549" t="s">
        <v>9274</v>
      </c>
      <c r="D2549" t="s">
        <v>9275</v>
      </c>
      <c r="E2549">
        <v>1</v>
      </c>
      <c r="F2549" t="s">
        <v>9276</v>
      </c>
      <c r="G2549" t="s">
        <v>5600</v>
      </c>
      <c r="H2549" t="s">
        <v>9277</v>
      </c>
      <c r="I2549" t="s">
        <v>9278</v>
      </c>
    </row>
    <row r="2550" spans="1:9">
      <c r="A2550" t="str">
        <f>"0031767 "</f>
        <v xml:space="preserve">0031767 </v>
      </c>
      <c r="B2550" t="s">
        <v>5597</v>
      </c>
      <c r="C2550" t="s">
        <v>9279</v>
      </c>
      <c r="D2550" t="s">
        <v>9280</v>
      </c>
      <c r="E2550">
        <v>1</v>
      </c>
      <c r="F2550" t="s">
        <v>6852</v>
      </c>
      <c r="G2550" t="s">
        <v>5600</v>
      </c>
      <c r="H2550" t="s">
        <v>9281</v>
      </c>
      <c r="I2550" t="s">
        <v>3531</v>
      </c>
    </row>
    <row r="2551" spans="1:9">
      <c r="A2551" t="str">
        <f>"0031768 "</f>
        <v xml:space="preserve">0031768 </v>
      </c>
      <c r="B2551" t="s">
        <v>5597</v>
      </c>
      <c r="C2551" t="s">
        <v>9282</v>
      </c>
      <c r="D2551" t="s">
        <v>9283</v>
      </c>
      <c r="E2551" t="s">
        <v>20</v>
      </c>
      <c r="F2551" t="s">
        <v>9284</v>
      </c>
      <c r="G2551" t="s">
        <v>5600</v>
      </c>
      <c r="H2551" t="s">
        <v>9285</v>
      </c>
      <c r="I2551" t="s">
        <v>9286</v>
      </c>
    </row>
    <row r="2552" spans="1:9">
      <c r="A2552" t="str">
        <f>"0031769 "</f>
        <v xml:space="preserve">0031769 </v>
      </c>
      <c r="B2552" t="s">
        <v>5597</v>
      </c>
      <c r="C2552" t="s">
        <v>9287</v>
      </c>
      <c r="D2552" t="s">
        <v>9288</v>
      </c>
      <c r="E2552" t="s">
        <v>20</v>
      </c>
      <c r="F2552" t="s">
        <v>7248</v>
      </c>
      <c r="G2552" t="s">
        <v>5600</v>
      </c>
      <c r="H2552" t="s">
        <v>9289</v>
      </c>
      <c r="I2552" t="s">
        <v>9290</v>
      </c>
    </row>
    <row r="2553" spans="1:9">
      <c r="A2553" t="str">
        <f>"0116729 "</f>
        <v xml:space="preserve">0116729 </v>
      </c>
      <c r="B2553" t="s">
        <v>5597</v>
      </c>
      <c r="C2553" t="s">
        <v>9291</v>
      </c>
      <c r="D2553" t="s">
        <v>9292</v>
      </c>
      <c r="E2553">
        <v>1</v>
      </c>
      <c r="F2553" t="s">
        <v>9293</v>
      </c>
      <c r="G2553" t="s">
        <v>5600</v>
      </c>
      <c r="H2553" t="s">
        <v>9294</v>
      </c>
      <c r="I2553" t="s">
        <v>9295</v>
      </c>
    </row>
    <row r="2554" spans="1:9">
      <c r="A2554" t="str">
        <f>"0116730 "</f>
        <v xml:space="preserve">0116730 </v>
      </c>
      <c r="B2554" t="s">
        <v>5597</v>
      </c>
      <c r="C2554" t="s">
        <v>9296</v>
      </c>
      <c r="D2554" t="s">
        <v>9297</v>
      </c>
      <c r="E2554">
        <v>1</v>
      </c>
      <c r="F2554" t="s">
        <v>9298</v>
      </c>
      <c r="G2554" t="s">
        <v>5600</v>
      </c>
      <c r="H2554" t="s">
        <v>9299</v>
      </c>
      <c r="I2554" t="s">
        <v>9300</v>
      </c>
    </row>
    <row r="2555" spans="1:9">
      <c r="A2555" t="str">
        <f>"0031771 "</f>
        <v xml:space="preserve">0031771 </v>
      </c>
      <c r="B2555" t="s">
        <v>5597</v>
      </c>
      <c r="C2555" t="s">
        <v>9301</v>
      </c>
      <c r="D2555" t="s">
        <v>9302</v>
      </c>
      <c r="E2555">
        <v>1</v>
      </c>
      <c r="F2555" t="s">
        <v>9303</v>
      </c>
      <c r="G2555" t="s">
        <v>5600</v>
      </c>
      <c r="H2555" t="s">
        <v>9304</v>
      </c>
      <c r="I2555" t="s">
        <v>9305</v>
      </c>
    </row>
    <row r="2556" spans="1:9">
      <c r="A2556" t="str">
        <f>"0031772 "</f>
        <v xml:space="preserve">0031772 </v>
      </c>
      <c r="B2556" t="s">
        <v>5597</v>
      </c>
      <c r="C2556" t="s">
        <v>9306</v>
      </c>
      <c r="D2556" t="s">
        <v>9307</v>
      </c>
      <c r="E2556">
        <v>2</v>
      </c>
      <c r="F2556" t="s">
        <v>9308</v>
      </c>
      <c r="G2556" t="s">
        <v>5600</v>
      </c>
      <c r="H2556" t="s">
        <v>9309</v>
      </c>
      <c r="I2556" t="s">
        <v>9310</v>
      </c>
    </row>
    <row r="2557" spans="1:9">
      <c r="A2557" t="str">
        <f>"0031774 "</f>
        <v xml:space="preserve">0031774 </v>
      </c>
      <c r="B2557" t="s">
        <v>5597</v>
      </c>
      <c r="C2557" t="s">
        <v>9311</v>
      </c>
      <c r="D2557" t="s">
        <v>9312</v>
      </c>
      <c r="E2557">
        <v>1</v>
      </c>
      <c r="F2557" t="s">
        <v>9011</v>
      </c>
      <c r="G2557" t="s">
        <v>5600</v>
      </c>
      <c r="H2557" t="s">
        <v>9313</v>
      </c>
      <c r="I2557" t="s">
        <v>9314</v>
      </c>
    </row>
    <row r="2558" spans="1:9">
      <c r="A2558" t="str">
        <f>"0031775 "</f>
        <v xml:space="preserve">0031775 </v>
      </c>
      <c r="B2558" t="s">
        <v>5597</v>
      </c>
      <c r="C2558" t="s">
        <v>9315</v>
      </c>
      <c r="D2558" t="s">
        <v>9316</v>
      </c>
      <c r="E2558">
        <v>1</v>
      </c>
      <c r="F2558" t="s">
        <v>8312</v>
      </c>
      <c r="G2558" t="s">
        <v>5600</v>
      </c>
      <c r="H2558" t="s">
        <v>9317</v>
      </c>
      <c r="I2558" t="s">
        <v>9318</v>
      </c>
    </row>
    <row r="2559" spans="1:9">
      <c r="A2559" t="str">
        <f>"0031776 "</f>
        <v xml:space="preserve">0031776 </v>
      </c>
      <c r="B2559" t="s">
        <v>5597</v>
      </c>
      <c r="C2559" t="s">
        <v>9319</v>
      </c>
      <c r="D2559" t="s">
        <v>9320</v>
      </c>
      <c r="E2559">
        <v>1</v>
      </c>
      <c r="F2559" t="s">
        <v>9321</v>
      </c>
      <c r="G2559" t="s">
        <v>5600</v>
      </c>
      <c r="H2559" t="s">
        <v>9322</v>
      </c>
      <c r="I2559" t="s">
        <v>9323</v>
      </c>
    </row>
    <row r="2560" spans="1:9">
      <c r="A2560" t="str">
        <f>"0031780 "</f>
        <v xml:space="preserve">0031780 </v>
      </c>
      <c r="B2560" t="s">
        <v>5597</v>
      </c>
      <c r="C2560" t="s">
        <v>9324</v>
      </c>
      <c r="D2560" t="s">
        <v>9325</v>
      </c>
      <c r="E2560">
        <v>1</v>
      </c>
      <c r="F2560" t="s">
        <v>9326</v>
      </c>
      <c r="G2560" t="s">
        <v>5600</v>
      </c>
      <c r="H2560" t="s">
        <v>9327</v>
      </c>
      <c r="I2560" t="s">
        <v>9328</v>
      </c>
    </row>
    <row r="2561" spans="1:9">
      <c r="A2561" t="str">
        <f>"0031781 "</f>
        <v xml:space="preserve">0031781 </v>
      </c>
      <c r="B2561" t="s">
        <v>5597</v>
      </c>
      <c r="C2561" t="s">
        <v>9329</v>
      </c>
      <c r="D2561" t="s">
        <v>9330</v>
      </c>
      <c r="E2561">
        <v>2</v>
      </c>
      <c r="F2561" t="s">
        <v>9331</v>
      </c>
      <c r="G2561" t="s">
        <v>5600</v>
      </c>
      <c r="H2561" t="s">
        <v>9332</v>
      </c>
      <c r="I2561" t="s">
        <v>9333</v>
      </c>
    </row>
    <row r="2562" spans="1:9">
      <c r="A2562" t="str">
        <f>"0031786 "</f>
        <v xml:space="preserve">0031786 </v>
      </c>
      <c r="B2562" t="s">
        <v>5597</v>
      </c>
      <c r="C2562" t="s">
        <v>9334</v>
      </c>
      <c r="D2562" t="s">
        <v>9335</v>
      </c>
      <c r="E2562">
        <v>3</v>
      </c>
      <c r="F2562" t="s">
        <v>5655</v>
      </c>
      <c r="G2562" t="s">
        <v>5600</v>
      </c>
      <c r="H2562" t="s">
        <v>9336</v>
      </c>
      <c r="I2562" t="s">
        <v>9337</v>
      </c>
    </row>
    <row r="2563" spans="1:9">
      <c r="A2563" t="str">
        <f>"0031791 "</f>
        <v xml:space="preserve">0031791 </v>
      </c>
      <c r="B2563" t="s">
        <v>5597</v>
      </c>
      <c r="C2563" t="s">
        <v>9338</v>
      </c>
      <c r="D2563" t="s">
        <v>9339</v>
      </c>
      <c r="E2563">
        <v>3</v>
      </c>
      <c r="F2563" t="s">
        <v>9340</v>
      </c>
      <c r="G2563" t="s">
        <v>5600</v>
      </c>
      <c r="H2563" t="s">
        <v>9341</v>
      </c>
      <c r="I2563" t="s">
        <v>9342</v>
      </c>
    </row>
    <row r="2564" spans="1:9">
      <c r="A2564" t="str">
        <f>"0116731 "</f>
        <v xml:space="preserve">0116731 </v>
      </c>
      <c r="B2564" t="s">
        <v>5597</v>
      </c>
      <c r="C2564" t="s">
        <v>9343</v>
      </c>
      <c r="D2564" t="s">
        <v>9344</v>
      </c>
      <c r="E2564">
        <v>2</v>
      </c>
      <c r="F2564" t="s">
        <v>5773</v>
      </c>
      <c r="G2564" t="s">
        <v>5600</v>
      </c>
      <c r="H2564" t="s">
        <v>9345</v>
      </c>
      <c r="I2564" t="s">
        <v>9346</v>
      </c>
    </row>
    <row r="2565" spans="1:9">
      <c r="A2565" t="str">
        <f>"0031801 "</f>
        <v xml:space="preserve">0031801 </v>
      </c>
      <c r="B2565" t="s">
        <v>5597</v>
      </c>
      <c r="C2565" t="s">
        <v>9347</v>
      </c>
      <c r="D2565" t="s">
        <v>9348</v>
      </c>
      <c r="E2565">
        <v>5</v>
      </c>
      <c r="F2565" t="s">
        <v>9349</v>
      </c>
      <c r="G2565" t="s">
        <v>5600</v>
      </c>
      <c r="H2565" t="s">
        <v>9350</v>
      </c>
      <c r="I2565" t="s">
        <v>9351</v>
      </c>
    </row>
    <row r="2566" spans="1:9">
      <c r="A2566" t="str">
        <f>"0031802 "</f>
        <v xml:space="preserve">0031802 </v>
      </c>
      <c r="B2566" t="s">
        <v>5597</v>
      </c>
      <c r="C2566" t="s">
        <v>9352</v>
      </c>
      <c r="D2566" t="s">
        <v>9353</v>
      </c>
      <c r="E2566">
        <v>2</v>
      </c>
      <c r="F2566" t="s">
        <v>1861</v>
      </c>
      <c r="G2566" t="s">
        <v>5600</v>
      </c>
      <c r="H2566" t="s">
        <v>9354</v>
      </c>
      <c r="I2566" t="s">
        <v>9355</v>
      </c>
    </row>
    <row r="2567" spans="1:9">
      <c r="A2567" t="str">
        <f>"0031803 "</f>
        <v xml:space="preserve">0031803 </v>
      </c>
      <c r="B2567" t="s">
        <v>5597</v>
      </c>
      <c r="C2567" t="s">
        <v>9356</v>
      </c>
      <c r="D2567" t="s">
        <v>9357</v>
      </c>
      <c r="E2567">
        <v>1</v>
      </c>
      <c r="F2567" t="s">
        <v>9358</v>
      </c>
      <c r="G2567" t="s">
        <v>5600</v>
      </c>
      <c r="H2567" t="s">
        <v>9359</v>
      </c>
      <c r="I2567" t="s">
        <v>3518</v>
      </c>
    </row>
    <row r="2568" spans="1:9">
      <c r="A2568" t="str">
        <f>"0031805 "</f>
        <v xml:space="preserve">0031805 </v>
      </c>
      <c r="B2568" t="s">
        <v>5597</v>
      </c>
      <c r="C2568" t="s">
        <v>9360</v>
      </c>
      <c r="D2568" t="s">
        <v>9361</v>
      </c>
      <c r="E2568" t="s">
        <v>20</v>
      </c>
      <c r="F2568" t="s">
        <v>9362</v>
      </c>
      <c r="G2568" t="s">
        <v>5600</v>
      </c>
      <c r="H2568" t="s">
        <v>9363</v>
      </c>
      <c r="I2568" t="s">
        <v>9364</v>
      </c>
    </row>
    <row r="2569" spans="1:9">
      <c r="A2569" t="str">
        <f>"0161239 "</f>
        <v xml:space="preserve">0161239 </v>
      </c>
      <c r="B2569" t="s">
        <v>5597</v>
      </c>
      <c r="C2569" t="s">
        <v>9365</v>
      </c>
      <c r="D2569" t="s">
        <v>9366</v>
      </c>
      <c r="E2569">
        <v>2</v>
      </c>
      <c r="F2569" t="s">
        <v>9367</v>
      </c>
      <c r="G2569" t="s">
        <v>5600</v>
      </c>
      <c r="H2569" t="s">
        <v>9368</v>
      </c>
      <c r="I2569" t="s">
        <v>9369</v>
      </c>
    </row>
    <row r="2570" spans="1:9">
      <c r="A2570" t="str">
        <f>"0031806 "</f>
        <v xml:space="preserve">0031806 </v>
      </c>
      <c r="B2570" t="s">
        <v>5597</v>
      </c>
      <c r="C2570" t="s">
        <v>9370</v>
      </c>
      <c r="D2570" t="s">
        <v>9371</v>
      </c>
      <c r="E2570">
        <v>1</v>
      </c>
      <c r="F2570" t="s">
        <v>9372</v>
      </c>
      <c r="G2570" t="s">
        <v>5600</v>
      </c>
      <c r="H2570" t="s">
        <v>9373</v>
      </c>
      <c r="I2570" t="s">
        <v>984</v>
      </c>
    </row>
    <row r="2571" spans="1:9">
      <c r="A2571" t="str">
        <f>"0031810 "</f>
        <v xml:space="preserve">0031810 </v>
      </c>
      <c r="B2571" t="s">
        <v>5597</v>
      </c>
      <c r="C2571" t="s">
        <v>9374</v>
      </c>
      <c r="D2571" t="s">
        <v>9375</v>
      </c>
      <c r="E2571">
        <v>1</v>
      </c>
      <c r="F2571" t="s">
        <v>9376</v>
      </c>
      <c r="G2571" t="s">
        <v>5600</v>
      </c>
      <c r="H2571" t="s">
        <v>9377</v>
      </c>
      <c r="I2571" t="s">
        <v>9378</v>
      </c>
    </row>
    <row r="2572" spans="1:9">
      <c r="A2572" t="str">
        <f>"0116604 "</f>
        <v xml:space="preserve">0116604 </v>
      </c>
      <c r="B2572" t="s">
        <v>5597</v>
      </c>
      <c r="C2572" t="s">
        <v>9379</v>
      </c>
      <c r="D2572" t="s">
        <v>9380</v>
      </c>
      <c r="E2572">
        <v>3</v>
      </c>
      <c r="F2572" t="s">
        <v>9381</v>
      </c>
      <c r="G2572" t="s">
        <v>5600</v>
      </c>
      <c r="H2572" t="s">
        <v>9382</v>
      </c>
      <c r="I2572" t="s">
        <v>9383</v>
      </c>
    </row>
    <row r="2573" spans="1:9">
      <c r="A2573" t="str">
        <f>"0159226 "</f>
        <v xml:space="preserve">0159226 </v>
      </c>
      <c r="B2573" t="s">
        <v>5597</v>
      </c>
      <c r="C2573" t="s">
        <v>9384</v>
      </c>
      <c r="D2573" t="s">
        <v>9385</v>
      </c>
      <c r="E2573">
        <v>2</v>
      </c>
      <c r="F2573" t="s">
        <v>9386</v>
      </c>
      <c r="G2573" t="s">
        <v>5600</v>
      </c>
      <c r="H2573" t="s">
        <v>9387</v>
      </c>
      <c r="I2573" t="s">
        <v>9388</v>
      </c>
    </row>
    <row r="2574" spans="1:9">
      <c r="A2574" t="str">
        <f>"0031813 "</f>
        <v xml:space="preserve">0031813 </v>
      </c>
      <c r="B2574" t="s">
        <v>5597</v>
      </c>
      <c r="C2574" t="s">
        <v>9389</v>
      </c>
      <c r="D2574" t="s">
        <v>9390</v>
      </c>
      <c r="E2574" t="s">
        <v>20</v>
      </c>
      <c r="F2574" t="s">
        <v>9391</v>
      </c>
      <c r="G2574" t="s">
        <v>5600</v>
      </c>
      <c r="H2574" t="s">
        <v>9392</v>
      </c>
      <c r="I2574" t="s">
        <v>9393</v>
      </c>
    </row>
    <row r="2575" spans="1:9">
      <c r="A2575" t="str">
        <f>"0031814 "</f>
        <v xml:space="preserve">0031814 </v>
      </c>
      <c r="B2575" t="s">
        <v>5597</v>
      </c>
      <c r="C2575" t="s">
        <v>9394</v>
      </c>
      <c r="D2575" t="s">
        <v>9395</v>
      </c>
      <c r="E2575">
        <v>2</v>
      </c>
      <c r="F2575" t="s">
        <v>9396</v>
      </c>
      <c r="G2575" t="s">
        <v>5600</v>
      </c>
      <c r="H2575" t="s">
        <v>9397</v>
      </c>
      <c r="I2575" t="s">
        <v>9398</v>
      </c>
    </row>
    <row r="2576" spans="1:9">
      <c r="A2576" t="str">
        <f>"0031820 "</f>
        <v xml:space="preserve">0031820 </v>
      </c>
      <c r="B2576" t="s">
        <v>5597</v>
      </c>
      <c r="C2576" t="s">
        <v>9399</v>
      </c>
      <c r="D2576" t="s">
        <v>9400</v>
      </c>
      <c r="E2576">
        <v>1</v>
      </c>
      <c r="F2576" t="s">
        <v>8141</v>
      </c>
      <c r="G2576" t="s">
        <v>5600</v>
      </c>
      <c r="H2576" t="s">
        <v>9401</v>
      </c>
      <c r="I2576" t="s">
        <v>9402</v>
      </c>
    </row>
    <row r="2577" spans="1:9">
      <c r="A2577" t="str">
        <f>"0031821 "</f>
        <v xml:space="preserve">0031821 </v>
      </c>
      <c r="B2577" t="s">
        <v>5597</v>
      </c>
      <c r="C2577" t="s">
        <v>9403</v>
      </c>
      <c r="D2577" t="s">
        <v>9404</v>
      </c>
      <c r="E2577">
        <v>1</v>
      </c>
      <c r="F2577" s="2">
        <v>46661</v>
      </c>
      <c r="G2577" t="s">
        <v>5600</v>
      </c>
      <c r="H2577" t="s">
        <v>9405</v>
      </c>
      <c r="I2577" t="s">
        <v>9406</v>
      </c>
    </row>
    <row r="2578" spans="1:9">
      <c r="A2578" t="str">
        <f>"0031822 "</f>
        <v xml:space="preserve">0031822 </v>
      </c>
      <c r="B2578" t="s">
        <v>5597</v>
      </c>
      <c r="C2578" t="s">
        <v>9407</v>
      </c>
      <c r="D2578" t="s">
        <v>9408</v>
      </c>
      <c r="E2578" t="s">
        <v>20</v>
      </c>
      <c r="F2578" t="s">
        <v>9409</v>
      </c>
      <c r="G2578" t="s">
        <v>5600</v>
      </c>
      <c r="H2578" t="s">
        <v>9410</v>
      </c>
      <c r="I2578" t="s">
        <v>9411</v>
      </c>
    </row>
    <row r="2579" spans="1:9">
      <c r="A2579" t="str">
        <f>"0031823 "</f>
        <v xml:space="preserve">0031823 </v>
      </c>
      <c r="B2579" t="s">
        <v>5597</v>
      </c>
      <c r="C2579" t="s">
        <v>9412</v>
      </c>
      <c r="D2579" t="s">
        <v>9413</v>
      </c>
      <c r="E2579">
        <v>2</v>
      </c>
      <c r="F2579" t="s">
        <v>9414</v>
      </c>
      <c r="G2579" t="s">
        <v>5600</v>
      </c>
      <c r="H2579" t="s">
        <v>9415</v>
      </c>
      <c r="I2579" t="s">
        <v>9416</v>
      </c>
    </row>
    <row r="2580" spans="1:9">
      <c r="A2580" t="str">
        <f>"0031824 "</f>
        <v xml:space="preserve">0031824 </v>
      </c>
      <c r="B2580" t="s">
        <v>5597</v>
      </c>
      <c r="C2580" t="s">
        <v>9417</v>
      </c>
      <c r="D2580" t="s">
        <v>9418</v>
      </c>
      <c r="E2580">
        <v>2</v>
      </c>
      <c r="F2580" t="s">
        <v>9419</v>
      </c>
      <c r="G2580" t="s">
        <v>5600</v>
      </c>
      <c r="H2580" t="s">
        <v>9420</v>
      </c>
      <c r="I2580" t="s">
        <v>9421</v>
      </c>
    </row>
    <row r="2581" spans="1:9">
      <c r="A2581" t="str">
        <f>"0031825 "</f>
        <v xml:space="preserve">0031825 </v>
      </c>
      <c r="B2581" t="s">
        <v>5597</v>
      </c>
      <c r="C2581" t="s">
        <v>9422</v>
      </c>
      <c r="D2581" t="s">
        <v>9423</v>
      </c>
      <c r="E2581" t="s">
        <v>20</v>
      </c>
      <c r="F2581" s="3">
        <v>42851</v>
      </c>
      <c r="G2581" t="s">
        <v>5600</v>
      </c>
      <c r="H2581" t="s">
        <v>9424</v>
      </c>
      <c r="I2581" t="s">
        <v>9425</v>
      </c>
    </row>
    <row r="2582" spans="1:9">
      <c r="A2582" t="str">
        <f>"0031826 "</f>
        <v xml:space="preserve">0031826 </v>
      </c>
      <c r="B2582" t="s">
        <v>5597</v>
      </c>
      <c r="C2582" t="s">
        <v>9426</v>
      </c>
      <c r="D2582" t="s">
        <v>9427</v>
      </c>
      <c r="E2582">
        <v>1</v>
      </c>
      <c r="F2582" t="s">
        <v>9428</v>
      </c>
      <c r="G2582" t="s">
        <v>5600</v>
      </c>
      <c r="H2582" t="s">
        <v>9429</v>
      </c>
      <c r="I2582" t="s">
        <v>9430</v>
      </c>
    </row>
    <row r="2583" spans="1:9">
      <c r="A2583" t="str">
        <f>"0031827 "</f>
        <v xml:space="preserve">0031827 </v>
      </c>
      <c r="B2583" t="s">
        <v>5597</v>
      </c>
      <c r="C2583" t="s">
        <v>9431</v>
      </c>
      <c r="D2583" t="s">
        <v>9432</v>
      </c>
      <c r="E2583">
        <v>1</v>
      </c>
      <c r="F2583" t="s">
        <v>9433</v>
      </c>
      <c r="G2583" t="s">
        <v>5600</v>
      </c>
      <c r="H2583" t="s">
        <v>9434</v>
      </c>
      <c r="I2583" t="s">
        <v>9435</v>
      </c>
    </row>
    <row r="2584" spans="1:9">
      <c r="A2584" t="str">
        <f>"0031828 "</f>
        <v xml:space="preserve">0031828 </v>
      </c>
      <c r="B2584" t="s">
        <v>5597</v>
      </c>
      <c r="C2584" t="s">
        <v>9436</v>
      </c>
      <c r="D2584" t="s">
        <v>9437</v>
      </c>
      <c r="E2584">
        <v>1</v>
      </c>
      <c r="F2584" t="s">
        <v>9438</v>
      </c>
      <c r="G2584" t="s">
        <v>5600</v>
      </c>
      <c r="H2584" t="s">
        <v>9439</v>
      </c>
      <c r="I2584" t="s">
        <v>9440</v>
      </c>
    </row>
    <row r="2585" spans="1:9">
      <c r="A2585" t="str">
        <f>"0231739 "</f>
        <v xml:space="preserve">0231739 </v>
      </c>
      <c r="B2585" t="s">
        <v>9441</v>
      </c>
      <c r="C2585">
        <v>8300011</v>
      </c>
      <c r="D2585" t="s">
        <v>9442</v>
      </c>
      <c r="E2585">
        <v>3</v>
      </c>
      <c r="F2585" t="s">
        <v>9443</v>
      </c>
      <c r="G2585" t="s">
        <v>9441</v>
      </c>
      <c r="H2585">
        <v>8300011</v>
      </c>
      <c r="I2585" t="s">
        <v>9444</v>
      </c>
    </row>
    <row r="2586" spans="1:9">
      <c r="A2586" t="str">
        <f>"0232040 "</f>
        <v xml:space="preserve">0232040 </v>
      </c>
      <c r="B2586" t="s">
        <v>9441</v>
      </c>
      <c r="C2586">
        <v>8300622</v>
      </c>
      <c r="D2586" t="s">
        <v>9445</v>
      </c>
      <c r="E2586" t="s">
        <v>20</v>
      </c>
      <c r="F2586" t="s">
        <v>9446</v>
      </c>
      <c r="G2586" t="s">
        <v>9441</v>
      </c>
      <c r="H2586">
        <v>8300622</v>
      </c>
      <c r="I2586" t="s">
        <v>9447</v>
      </c>
    </row>
    <row r="2587" spans="1:9">
      <c r="A2587" t="str">
        <f>"0232293 "</f>
        <v xml:space="preserve">0232293 </v>
      </c>
      <c r="B2587" t="s">
        <v>9441</v>
      </c>
      <c r="C2587">
        <v>8302008</v>
      </c>
      <c r="D2587" t="s">
        <v>9448</v>
      </c>
      <c r="E2587" t="s">
        <v>20</v>
      </c>
      <c r="F2587" t="s">
        <v>9449</v>
      </c>
      <c r="G2587" t="s">
        <v>9441</v>
      </c>
      <c r="H2587">
        <v>8302008</v>
      </c>
      <c r="I2587" t="s">
        <v>9450</v>
      </c>
    </row>
    <row r="2588" spans="1:9">
      <c r="A2588" t="str">
        <f>"0231743 "</f>
        <v xml:space="preserve">0231743 </v>
      </c>
      <c r="B2588" t="s">
        <v>9441</v>
      </c>
      <c r="C2588">
        <v>8302510</v>
      </c>
      <c r="D2588" t="s">
        <v>9451</v>
      </c>
      <c r="E2588" t="s">
        <v>20</v>
      </c>
      <c r="F2588" t="s">
        <v>6034</v>
      </c>
      <c r="G2588" t="s">
        <v>9441</v>
      </c>
      <c r="H2588">
        <v>8302510</v>
      </c>
      <c r="I2588" t="s">
        <v>9452</v>
      </c>
    </row>
    <row r="2589" spans="1:9">
      <c r="A2589" t="str">
        <f>"0231744 "</f>
        <v xml:space="preserve">0231744 </v>
      </c>
      <c r="B2589" t="s">
        <v>9441</v>
      </c>
      <c r="C2589">
        <v>8302619</v>
      </c>
      <c r="D2589" t="s">
        <v>9453</v>
      </c>
      <c r="E2589" t="s">
        <v>20</v>
      </c>
      <c r="F2589" t="s">
        <v>9454</v>
      </c>
      <c r="G2589" t="s">
        <v>9441</v>
      </c>
      <c r="H2589">
        <v>8302619</v>
      </c>
      <c r="I2589" t="s">
        <v>9452</v>
      </c>
    </row>
    <row r="2590" spans="1:9">
      <c r="A2590" t="str">
        <f>"0231754 "</f>
        <v xml:space="preserve">0231754 </v>
      </c>
      <c r="B2590" t="s">
        <v>9441</v>
      </c>
      <c r="C2590">
        <v>8302817</v>
      </c>
      <c r="D2590" t="s">
        <v>9455</v>
      </c>
      <c r="E2590" t="s">
        <v>20</v>
      </c>
      <c r="F2590" t="s">
        <v>9456</v>
      </c>
      <c r="G2590" t="s">
        <v>9441</v>
      </c>
      <c r="H2590">
        <v>8302817</v>
      </c>
      <c r="I2590" t="s">
        <v>9457</v>
      </c>
    </row>
    <row r="2591" spans="1:9">
      <c r="A2591" t="str">
        <f>"0231755 "</f>
        <v xml:space="preserve">0231755 </v>
      </c>
      <c r="B2591" t="s">
        <v>9441</v>
      </c>
      <c r="C2591">
        <v>8302916</v>
      </c>
      <c r="D2591" t="s">
        <v>9458</v>
      </c>
      <c r="E2591" t="s">
        <v>20</v>
      </c>
      <c r="F2591" t="s">
        <v>9459</v>
      </c>
      <c r="G2591" t="s">
        <v>9441</v>
      </c>
      <c r="H2591">
        <v>8302916</v>
      </c>
      <c r="I2591" t="s">
        <v>9457</v>
      </c>
    </row>
    <row r="2592" spans="1:9">
      <c r="A2592" t="str">
        <f>"0232076 "</f>
        <v xml:space="preserve">0232076 </v>
      </c>
      <c r="B2592" t="s">
        <v>9441</v>
      </c>
      <c r="C2592">
        <v>8303104</v>
      </c>
      <c r="D2592" t="s">
        <v>9460</v>
      </c>
      <c r="E2592" t="s">
        <v>20</v>
      </c>
      <c r="F2592" t="s">
        <v>9461</v>
      </c>
      <c r="G2592" t="s">
        <v>9441</v>
      </c>
      <c r="H2592">
        <v>8303104</v>
      </c>
      <c r="I2592" t="s">
        <v>9462</v>
      </c>
    </row>
    <row r="2593" spans="1:9">
      <c r="A2593" t="str">
        <f>"0232051 "</f>
        <v xml:space="preserve">0232051 </v>
      </c>
      <c r="B2593" t="s">
        <v>9441</v>
      </c>
      <c r="C2593">
        <v>8303302</v>
      </c>
      <c r="D2593" t="s">
        <v>9463</v>
      </c>
      <c r="E2593" t="s">
        <v>20</v>
      </c>
      <c r="F2593" t="s">
        <v>9464</v>
      </c>
      <c r="G2593" t="s">
        <v>9441</v>
      </c>
      <c r="H2593">
        <v>8303302</v>
      </c>
      <c r="I2593" t="s">
        <v>9465</v>
      </c>
    </row>
    <row r="2594" spans="1:9">
      <c r="A2594" t="str">
        <f>"0231813 "</f>
        <v xml:space="preserve">0231813 </v>
      </c>
      <c r="B2594" t="s">
        <v>9441</v>
      </c>
      <c r="C2594">
        <v>8303517</v>
      </c>
      <c r="D2594" t="s">
        <v>9466</v>
      </c>
      <c r="E2594" t="s">
        <v>20</v>
      </c>
      <c r="F2594" t="s">
        <v>9467</v>
      </c>
      <c r="G2594" t="s">
        <v>9441</v>
      </c>
      <c r="H2594">
        <v>8303517</v>
      </c>
      <c r="I2594" t="s">
        <v>9468</v>
      </c>
    </row>
    <row r="2595" spans="1:9">
      <c r="A2595" t="str">
        <f>"0232018 "</f>
        <v xml:space="preserve">0232018 </v>
      </c>
      <c r="B2595" t="s">
        <v>9441</v>
      </c>
      <c r="C2595">
        <v>8303609</v>
      </c>
      <c r="D2595" t="s">
        <v>9469</v>
      </c>
      <c r="E2595" t="s">
        <v>20</v>
      </c>
      <c r="F2595" t="s">
        <v>9470</v>
      </c>
      <c r="G2595" t="s">
        <v>9441</v>
      </c>
      <c r="H2595">
        <v>8303609</v>
      </c>
      <c r="I2595" t="s">
        <v>9471</v>
      </c>
    </row>
    <row r="2596" spans="1:9">
      <c r="A2596" t="str">
        <f>"0231807 "</f>
        <v xml:space="preserve">0231807 </v>
      </c>
      <c r="B2596" t="s">
        <v>9441</v>
      </c>
      <c r="C2596">
        <v>8303616</v>
      </c>
      <c r="D2596" t="s">
        <v>9472</v>
      </c>
      <c r="E2596" t="s">
        <v>20</v>
      </c>
      <c r="F2596" t="s">
        <v>9473</v>
      </c>
      <c r="G2596" t="s">
        <v>9441</v>
      </c>
      <c r="H2596">
        <v>8303616</v>
      </c>
      <c r="I2596" t="s">
        <v>9474</v>
      </c>
    </row>
    <row r="2597" spans="1:9">
      <c r="A2597" t="str">
        <f>"0231814 "</f>
        <v xml:space="preserve">0231814 </v>
      </c>
      <c r="B2597" t="s">
        <v>9441</v>
      </c>
      <c r="C2597">
        <v>8303715</v>
      </c>
      <c r="D2597" t="s">
        <v>9475</v>
      </c>
      <c r="E2597" t="s">
        <v>20</v>
      </c>
      <c r="F2597" t="s">
        <v>9476</v>
      </c>
      <c r="G2597" t="s">
        <v>9441</v>
      </c>
      <c r="H2597">
        <v>8303715</v>
      </c>
      <c r="I2597" t="s">
        <v>9468</v>
      </c>
    </row>
    <row r="2598" spans="1:9">
      <c r="A2598" t="str">
        <f>"0231808 "</f>
        <v xml:space="preserve">0231808 </v>
      </c>
      <c r="B2598" t="s">
        <v>9441</v>
      </c>
      <c r="C2598">
        <v>8303814</v>
      </c>
      <c r="D2598" t="s">
        <v>9477</v>
      </c>
      <c r="E2598" t="s">
        <v>20</v>
      </c>
      <c r="F2598" t="s">
        <v>9478</v>
      </c>
      <c r="G2598" t="s">
        <v>9441</v>
      </c>
      <c r="H2598">
        <v>8303814</v>
      </c>
      <c r="I2598" t="s">
        <v>9474</v>
      </c>
    </row>
    <row r="2599" spans="1:9">
      <c r="A2599" t="str">
        <f>"0231815 "</f>
        <v xml:space="preserve">0231815 </v>
      </c>
      <c r="B2599" t="s">
        <v>9441</v>
      </c>
      <c r="C2599">
        <v>8303913</v>
      </c>
      <c r="D2599" t="s">
        <v>9479</v>
      </c>
      <c r="E2599" t="s">
        <v>20</v>
      </c>
      <c r="F2599" t="s">
        <v>9480</v>
      </c>
      <c r="G2599" t="s">
        <v>9441</v>
      </c>
      <c r="H2599">
        <v>8303913</v>
      </c>
      <c r="I2599" t="s">
        <v>9468</v>
      </c>
    </row>
    <row r="2600" spans="1:9">
      <c r="A2600" t="str">
        <f>"0231809 "</f>
        <v xml:space="preserve">0231809 </v>
      </c>
      <c r="B2600" t="s">
        <v>9441</v>
      </c>
      <c r="C2600">
        <v>8304019</v>
      </c>
      <c r="D2600" t="s">
        <v>9481</v>
      </c>
      <c r="E2600" t="s">
        <v>20</v>
      </c>
      <c r="F2600" t="s">
        <v>9482</v>
      </c>
      <c r="G2600" t="s">
        <v>9441</v>
      </c>
      <c r="H2600">
        <v>8304019</v>
      </c>
      <c r="I2600" t="s">
        <v>9474</v>
      </c>
    </row>
    <row r="2601" spans="1:9">
      <c r="A2601" t="str">
        <f>"0231959 "</f>
        <v xml:space="preserve">0231959 </v>
      </c>
      <c r="B2601" t="s">
        <v>9441</v>
      </c>
      <c r="C2601">
        <v>8304101</v>
      </c>
      <c r="D2601" t="s">
        <v>9483</v>
      </c>
      <c r="E2601" t="s">
        <v>20</v>
      </c>
      <c r="F2601" t="s">
        <v>9484</v>
      </c>
      <c r="G2601" t="s">
        <v>9441</v>
      </c>
      <c r="H2601">
        <v>8304101</v>
      </c>
      <c r="I2601" t="s">
        <v>9485</v>
      </c>
    </row>
    <row r="2602" spans="1:9">
      <c r="A2602" t="str">
        <f>"0232057 "</f>
        <v xml:space="preserve">0232057 </v>
      </c>
      <c r="B2602" t="s">
        <v>9441</v>
      </c>
      <c r="C2602">
        <v>8304309</v>
      </c>
      <c r="D2602" t="s">
        <v>9486</v>
      </c>
      <c r="E2602" t="s">
        <v>20</v>
      </c>
      <c r="F2602" t="s">
        <v>9487</v>
      </c>
      <c r="G2602" t="s">
        <v>9441</v>
      </c>
      <c r="H2602">
        <v>8304309</v>
      </c>
      <c r="I2602" t="s">
        <v>9488</v>
      </c>
    </row>
    <row r="2603" spans="1:9">
      <c r="A2603" t="str">
        <f>"0232071 "</f>
        <v xml:space="preserve">0232071 </v>
      </c>
      <c r="B2603" t="s">
        <v>9441</v>
      </c>
      <c r="C2603">
        <v>8305108</v>
      </c>
      <c r="D2603" t="s">
        <v>9489</v>
      </c>
      <c r="E2603" t="s">
        <v>20</v>
      </c>
      <c r="F2603" t="s">
        <v>9490</v>
      </c>
      <c r="G2603" t="s">
        <v>9441</v>
      </c>
      <c r="H2603">
        <v>8305108</v>
      </c>
      <c r="I2603" t="s">
        <v>9491</v>
      </c>
    </row>
    <row r="2604" spans="1:9">
      <c r="A2604" t="str">
        <f>"0232031 "</f>
        <v xml:space="preserve">0232031 </v>
      </c>
      <c r="B2604" t="s">
        <v>9441</v>
      </c>
      <c r="C2604">
        <v>8305306</v>
      </c>
      <c r="D2604" t="s">
        <v>9492</v>
      </c>
      <c r="E2604" t="s">
        <v>20</v>
      </c>
      <c r="F2604" t="s">
        <v>9493</v>
      </c>
      <c r="G2604" t="s">
        <v>9441</v>
      </c>
      <c r="H2604">
        <v>8305306</v>
      </c>
      <c r="I2604" t="s">
        <v>9494</v>
      </c>
    </row>
    <row r="2605" spans="1:9">
      <c r="A2605" t="str">
        <f>"0232026 "</f>
        <v xml:space="preserve">0232026 </v>
      </c>
      <c r="B2605" t="s">
        <v>9441</v>
      </c>
      <c r="C2605">
        <v>8305603</v>
      </c>
      <c r="D2605" t="s">
        <v>9495</v>
      </c>
      <c r="E2605">
        <v>3</v>
      </c>
      <c r="F2605" t="s">
        <v>9496</v>
      </c>
      <c r="G2605" t="s">
        <v>9441</v>
      </c>
      <c r="H2605">
        <v>8305603</v>
      </c>
      <c r="I2605" t="s">
        <v>9497</v>
      </c>
    </row>
    <row r="2606" spans="1:9">
      <c r="A2606" t="str">
        <f>"0232062 "</f>
        <v xml:space="preserve">0232062 </v>
      </c>
      <c r="B2606" t="s">
        <v>9441</v>
      </c>
      <c r="C2606">
        <v>8306556</v>
      </c>
      <c r="D2606" t="s">
        <v>9498</v>
      </c>
      <c r="E2606">
        <v>1</v>
      </c>
      <c r="F2606" t="s">
        <v>9499</v>
      </c>
      <c r="G2606" t="s">
        <v>9441</v>
      </c>
      <c r="H2606">
        <v>8306556</v>
      </c>
      <c r="I2606" t="s">
        <v>9488</v>
      </c>
    </row>
    <row r="2607" spans="1:9">
      <c r="A2607" t="str">
        <f>"0231692 "</f>
        <v xml:space="preserve">0231692 </v>
      </c>
      <c r="B2607" t="s">
        <v>9441</v>
      </c>
      <c r="C2607">
        <v>8307416</v>
      </c>
      <c r="D2607" t="s">
        <v>9500</v>
      </c>
      <c r="E2607" t="s">
        <v>20</v>
      </c>
      <c r="F2607" t="s">
        <v>9501</v>
      </c>
      <c r="G2607" t="s">
        <v>9441</v>
      </c>
      <c r="H2607">
        <v>8307416</v>
      </c>
      <c r="I2607" t="s">
        <v>9502</v>
      </c>
    </row>
    <row r="2608" spans="1:9">
      <c r="A2608" t="str">
        <f>"0231693 "</f>
        <v xml:space="preserve">0231693 </v>
      </c>
      <c r="B2608" t="s">
        <v>9441</v>
      </c>
      <c r="C2608">
        <v>8307515</v>
      </c>
      <c r="D2608" t="s">
        <v>9503</v>
      </c>
      <c r="E2608" t="s">
        <v>20</v>
      </c>
      <c r="F2608" t="s">
        <v>9504</v>
      </c>
      <c r="G2608" t="s">
        <v>9441</v>
      </c>
      <c r="H2608">
        <v>8307515</v>
      </c>
      <c r="I2608" t="s">
        <v>9502</v>
      </c>
    </row>
    <row r="2609" spans="1:9">
      <c r="A2609" t="str">
        <f>"0231694 "</f>
        <v xml:space="preserve">0231694 </v>
      </c>
      <c r="B2609" t="s">
        <v>9441</v>
      </c>
      <c r="C2609">
        <v>8307614</v>
      </c>
      <c r="D2609" t="s">
        <v>9505</v>
      </c>
      <c r="E2609" t="s">
        <v>20</v>
      </c>
      <c r="F2609" t="s">
        <v>9506</v>
      </c>
      <c r="G2609" t="s">
        <v>9441</v>
      </c>
      <c r="H2609">
        <v>8307614</v>
      </c>
      <c r="I2609" t="s">
        <v>9502</v>
      </c>
    </row>
    <row r="2610" spans="1:9">
      <c r="A2610" t="str">
        <f>"0231680 "</f>
        <v xml:space="preserve">0231680 </v>
      </c>
      <c r="B2610" t="s">
        <v>9441</v>
      </c>
      <c r="C2610">
        <v>8308017</v>
      </c>
      <c r="D2610" t="s">
        <v>9507</v>
      </c>
      <c r="E2610" t="s">
        <v>20</v>
      </c>
      <c r="F2610" t="s">
        <v>3390</v>
      </c>
      <c r="G2610" t="s">
        <v>9441</v>
      </c>
      <c r="H2610">
        <v>8308017</v>
      </c>
      <c r="I2610" t="s">
        <v>9508</v>
      </c>
    </row>
    <row r="2611" spans="1:9">
      <c r="A2611" t="str">
        <f>"0231681 "</f>
        <v xml:space="preserve">0231681 </v>
      </c>
      <c r="B2611" t="s">
        <v>9441</v>
      </c>
      <c r="C2611">
        <v>8308116</v>
      </c>
      <c r="D2611" t="s">
        <v>9509</v>
      </c>
      <c r="E2611" t="s">
        <v>20</v>
      </c>
      <c r="F2611" t="s">
        <v>9510</v>
      </c>
      <c r="G2611" t="s">
        <v>9441</v>
      </c>
      <c r="H2611">
        <v>8308116</v>
      </c>
      <c r="I2611" t="s">
        <v>9508</v>
      </c>
    </row>
    <row r="2612" spans="1:9">
      <c r="A2612" t="str">
        <f>"0231682 "</f>
        <v xml:space="preserve">0231682 </v>
      </c>
      <c r="B2612" t="s">
        <v>9441</v>
      </c>
      <c r="C2612">
        <v>8308215</v>
      </c>
      <c r="D2612" t="s">
        <v>9511</v>
      </c>
      <c r="E2612" t="s">
        <v>20</v>
      </c>
      <c r="F2612" t="s">
        <v>9512</v>
      </c>
      <c r="G2612" t="s">
        <v>9441</v>
      </c>
      <c r="H2612">
        <v>8308215</v>
      </c>
      <c r="I2612" t="s">
        <v>9508</v>
      </c>
    </row>
    <row r="2613" spans="1:9">
      <c r="A2613" t="str">
        <f>"0231686 "</f>
        <v xml:space="preserve">0231686 </v>
      </c>
      <c r="B2613" t="s">
        <v>9441</v>
      </c>
      <c r="C2613">
        <v>8308314</v>
      </c>
      <c r="D2613" t="s">
        <v>9513</v>
      </c>
      <c r="E2613" t="s">
        <v>20</v>
      </c>
      <c r="F2613" t="s">
        <v>9514</v>
      </c>
      <c r="G2613" t="s">
        <v>9441</v>
      </c>
      <c r="H2613">
        <v>8308314</v>
      </c>
      <c r="I2613" t="s">
        <v>9515</v>
      </c>
    </row>
    <row r="2614" spans="1:9">
      <c r="A2614" t="str">
        <f>"0231687 "</f>
        <v xml:space="preserve">0231687 </v>
      </c>
      <c r="B2614" t="s">
        <v>9441</v>
      </c>
      <c r="C2614">
        <v>8308413</v>
      </c>
      <c r="D2614" t="s">
        <v>9516</v>
      </c>
      <c r="E2614" t="s">
        <v>20</v>
      </c>
      <c r="F2614" t="s">
        <v>9517</v>
      </c>
      <c r="G2614" t="s">
        <v>9441</v>
      </c>
      <c r="H2614">
        <v>8308413</v>
      </c>
      <c r="I2614" t="s">
        <v>9515</v>
      </c>
    </row>
    <row r="2615" spans="1:9">
      <c r="A2615" t="str">
        <f>"0231703 "</f>
        <v xml:space="preserve">0231703 </v>
      </c>
      <c r="B2615" t="s">
        <v>9441</v>
      </c>
      <c r="C2615">
        <v>8308611</v>
      </c>
      <c r="D2615" t="s">
        <v>9518</v>
      </c>
      <c r="E2615" t="s">
        <v>20</v>
      </c>
      <c r="F2615" t="s">
        <v>9519</v>
      </c>
      <c r="G2615" t="s">
        <v>9441</v>
      </c>
      <c r="H2615">
        <v>8308611</v>
      </c>
      <c r="I2615" t="s">
        <v>9520</v>
      </c>
    </row>
    <row r="2616" spans="1:9">
      <c r="A2616" t="str">
        <f>"0231704 "</f>
        <v xml:space="preserve">0231704 </v>
      </c>
      <c r="B2616" t="s">
        <v>9441</v>
      </c>
      <c r="C2616">
        <v>8308710</v>
      </c>
      <c r="D2616" t="s">
        <v>9521</v>
      </c>
      <c r="E2616" t="s">
        <v>20</v>
      </c>
      <c r="F2616" t="s">
        <v>9522</v>
      </c>
      <c r="G2616" t="s">
        <v>9441</v>
      </c>
      <c r="H2616">
        <v>8308710</v>
      </c>
      <c r="I2616" t="s">
        <v>9520</v>
      </c>
    </row>
    <row r="2617" spans="1:9">
      <c r="A2617" t="str">
        <f>"0231737 "</f>
        <v xml:space="preserve">0231737 </v>
      </c>
      <c r="B2617" t="s">
        <v>9441</v>
      </c>
      <c r="C2617">
        <v>8309809</v>
      </c>
      <c r="D2617" t="s">
        <v>9523</v>
      </c>
      <c r="E2617" t="s">
        <v>20</v>
      </c>
      <c r="F2617" t="s">
        <v>9524</v>
      </c>
      <c r="G2617" t="s">
        <v>9441</v>
      </c>
      <c r="H2617">
        <v>8309809</v>
      </c>
      <c r="I2617" t="s">
        <v>9444</v>
      </c>
    </row>
    <row r="2618" spans="1:9">
      <c r="A2618" t="str">
        <f>"0231738 "</f>
        <v xml:space="preserve">0231738 </v>
      </c>
      <c r="B2618" t="s">
        <v>9441</v>
      </c>
      <c r="C2618">
        <v>8309908</v>
      </c>
      <c r="D2618" t="s">
        <v>9525</v>
      </c>
      <c r="E2618">
        <v>5</v>
      </c>
      <c r="F2618" t="s">
        <v>9526</v>
      </c>
      <c r="G2618" t="s">
        <v>9441</v>
      </c>
      <c r="H2618">
        <v>8309908</v>
      </c>
      <c r="I2618" t="s">
        <v>9444</v>
      </c>
    </row>
    <row r="2619" spans="1:9">
      <c r="A2619" t="str">
        <f>"0231760 "</f>
        <v xml:space="preserve">0231760 </v>
      </c>
      <c r="B2619" t="s">
        <v>9441</v>
      </c>
      <c r="C2619">
        <v>8311093</v>
      </c>
      <c r="D2619" t="s">
        <v>9527</v>
      </c>
      <c r="E2619" t="s">
        <v>20</v>
      </c>
      <c r="F2619" t="s">
        <v>9528</v>
      </c>
      <c r="G2619" t="s">
        <v>9441</v>
      </c>
      <c r="H2619">
        <v>8311093</v>
      </c>
      <c r="I2619" t="s">
        <v>9529</v>
      </c>
    </row>
    <row r="2620" spans="1:9">
      <c r="A2620" t="str">
        <f>"0231761 "</f>
        <v xml:space="preserve">0231761 </v>
      </c>
      <c r="B2620" t="s">
        <v>9441</v>
      </c>
      <c r="C2620">
        <v>8311192</v>
      </c>
      <c r="D2620" t="s">
        <v>9530</v>
      </c>
      <c r="E2620" t="s">
        <v>20</v>
      </c>
      <c r="F2620" t="s">
        <v>9531</v>
      </c>
      <c r="G2620" t="s">
        <v>9441</v>
      </c>
      <c r="H2620">
        <v>8311192</v>
      </c>
      <c r="I2620" t="s">
        <v>9529</v>
      </c>
    </row>
    <row r="2621" spans="1:9">
      <c r="A2621" t="str">
        <f>"0231762 "</f>
        <v xml:space="preserve">0231762 </v>
      </c>
      <c r="B2621" t="s">
        <v>9441</v>
      </c>
      <c r="C2621">
        <v>8311291</v>
      </c>
      <c r="D2621" t="s">
        <v>9532</v>
      </c>
      <c r="E2621" t="s">
        <v>20</v>
      </c>
      <c r="F2621" t="s">
        <v>9533</v>
      </c>
      <c r="G2621" t="s">
        <v>9441</v>
      </c>
      <c r="H2621">
        <v>8311291</v>
      </c>
      <c r="I2621" t="s">
        <v>9529</v>
      </c>
    </row>
    <row r="2622" spans="1:9">
      <c r="A2622" t="str">
        <f>"0231818 "</f>
        <v xml:space="preserve">0231818 </v>
      </c>
      <c r="B2622" t="s">
        <v>9441</v>
      </c>
      <c r="C2622">
        <v>8313165</v>
      </c>
      <c r="D2622" t="s">
        <v>9534</v>
      </c>
      <c r="E2622">
        <v>1</v>
      </c>
      <c r="F2622" t="s">
        <v>9535</v>
      </c>
      <c r="G2622" t="s">
        <v>9441</v>
      </c>
      <c r="H2622">
        <v>8313165</v>
      </c>
      <c r="I2622" t="s">
        <v>9468</v>
      </c>
    </row>
    <row r="2623" spans="1:9">
      <c r="A2623" t="str">
        <f>"0231810 "</f>
        <v xml:space="preserve">0231810 </v>
      </c>
      <c r="B2623" t="s">
        <v>9441</v>
      </c>
      <c r="C2623">
        <v>8313462</v>
      </c>
      <c r="D2623" t="s">
        <v>9536</v>
      </c>
      <c r="E2623">
        <v>2</v>
      </c>
      <c r="F2623" t="s">
        <v>9537</v>
      </c>
      <c r="G2623" t="s">
        <v>9441</v>
      </c>
      <c r="H2623">
        <v>8313462</v>
      </c>
      <c r="I2623" t="s">
        <v>9474</v>
      </c>
    </row>
    <row r="2624" spans="1:9">
      <c r="A2624" t="str">
        <f>"0231812 "</f>
        <v xml:space="preserve">0231812 </v>
      </c>
      <c r="B2624" t="s">
        <v>9441</v>
      </c>
      <c r="C2624">
        <v>8313769</v>
      </c>
      <c r="D2624" t="s">
        <v>9538</v>
      </c>
      <c r="E2624">
        <v>2</v>
      </c>
      <c r="F2624" t="s">
        <v>9539</v>
      </c>
      <c r="G2624" t="s">
        <v>9441</v>
      </c>
      <c r="H2624">
        <v>8313769</v>
      </c>
      <c r="I2624" t="s">
        <v>9474</v>
      </c>
    </row>
    <row r="2625" spans="1:9">
      <c r="A2625" t="str">
        <f>"0231775 "</f>
        <v xml:space="preserve">0231775 </v>
      </c>
      <c r="B2625" t="s">
        <v>9441</v>
      </c>
      <c r="C2625">
        <v>8314629</v>
      </c>
      <c r="D2625" t="s">
        <v>9540</v>
      </c>
      <c r="E2625" t="s">
        <v>20</v>
      </c>
      <c r="F2625" t="s">
        <v>9446</v>
      </c>
      <c r="G2625" t="s">
        <v>9441</v>
      </c>
      <c r="H2625">
        <v>8314629</v>
      </c>
      <c r="I2625" t="s">
        <v>9541</v>
      </c>
    </row>
    <row r="2626" spans="1:9">
      <c r="A2626" t="str">
        <f>"0231776 "</f>
        <v xml:space="preserve">0231776 </v>
      </c>
      <c r="B2626" t="s">
        <v>9441</v>
      </c>
      <c r="C2626">
        <v>8314728</v>
      </c>
      <c r="D2626" t="s">
        <v>9542</v>
      </c>
      <c r="E2626" t="s">
        <v>20</v>
      </c>
      <c r="F2626" t="s">
        <v>9543</v>
      </c>
      <c r="G2626" t="s">
        <v>9441</v>
      </c>
      <c r="H2626">
        <v>8314728</v>
      </c>
      <c r="I2626" t="s">
        <v>9541</v>
      </c>
    </row>
    <row r="2627" spans="1:9">
      <c r="A2627" t="str">
        <f>"0231913 "</f>
        <v xml:space="preserve">0231913 </v>
      </c>
      <c r="B2627" t="s">
        <v>9441</v>
      </c>
      <c r="C2627">
        <v>8315053</v>
      </c>
      <c r="D2627" t="s">
        <v>9544</v>
      </c>
      <c r="E2627" t="s">
        <v>20</v>
      </c>
      <c r="F2627" t="s">
        <v>9545</v>
      </c>
      <c r="G2627" t="s">
        <v>9441</v>
      </c>
      <c r="H2627">
        <v>8315053</v>
      </c>
      <c r="I2627" t="s">
        <v>9546</v>
      </c>
    </row>
    <row r="2628" spans="1:9">
      <c r="A2628" t="str">
        <f>"0231914 "</f>
        <v xml:space="preserve">0231914 </v>
      </c>
      <c r="B2628" t="s">
        <v>9441</v>
      </c>
      <c r="C2628">
        <v>8315251</v>
      </c>
      <c r="D2628" t="s">
        <v>9547</v>
      </c>
      <c r="E2628">
        <v>1</v>
      </c>
      <c r="F2628" t="s">
        <v>9548</v>
      </c>
      <c r="G2628" t="s">
        <v>9441</v>
      </c>
      <c r="H2628">
        <v>8315251</v>
      </c>
      <c r="I2628" t="s">
        <v>9546</v>
      </c>
    </row>
    <row r="2629" spans="1:9">
      <c r="A2629" t="str">
        <f>"0231915 "</f>
        <v xml:space="preserve">0231915 </v>
      </c>
      <c r="B2629" t="s">
        <v>9441</v>
      </c>
      <c r="C2629">
        <v>8315350</v>
      </c>
      <c r="D2629" t="s">
        <v>9549</v>
      </c>
      <c r="E2629">
        <v>1</v>
      </c>
      <c r="F2629" t="s">
        <v>9550</v>
      </c>
      <c r="G2629" t="s">
        <v>9441</v>
      </c>
      <c r="H2629">
        <v>8315350</v>
      </c>
      <c r="I2629" t="s">
        <v>9546</v>
      </c>
    </row>
    <row r="2630" spans="1:9">
      <c r="A2630" t="str">
        <f>"0231924 "</f>
        <v xml:space="preserve">0231924 </v>
      </c>
      <c r="B2630" t="s">
        <v>9441</v>
      </c>
      <c r="C2630">
        <v>8315954</v>
      </c>
      <c r="D2630" t="s">
        <v>9551</v>
      </c>
      <c r="E2630">
        <v>1</v>
      </c>
      <c r="F2630" t="s">
        <v>9552</v>
      </c>
      <c r="G2630" t="s">
        <v>9441</v>
      </c>
      <c r="H2630">
        <v>8315954</v>
      </c>
      <c r="I2630" t="s">
        <v>9546</v>
      </c>
    </row>
    <row r="2631" spans="1:9">
      <c r="A2631" t="str">
        <f>"0231696 "</f>
        <v xml:space="preserve">0231696 </v>
      </c>
      <c r="B2631" t="s">
        <v>9441</v>
      </c>
      <c r="C2631">
        <v>8316876</v>
      </c>
      <c r="D2631" t="s">
        <v>9553</v>
      </c>
      <c r="E2631">
        <v>1</v>
      </c>
      <c r="F2631" t="s">
        <v>9554</v>
      </c>
      <c r="G2631" t="s">
        <v>9441</v>
      </c>
      <c r="H2631">
        <v>8316876</v>
      </c>
      <c r="I2631" t="s">
        <v>9502</v>
      </c>
    </row>
    <row r="2632" spans="1:9">
      <c r="A2632" t="str">
        <f>"0232552 "</f>
        <v xml:space="preserve">0232552 </v>
      </c>
      <c r="B2632" t="s">
        <v>9441</v>
      </c>
      <c r="C2632">
        <v>8321092</v>
      </c>
      <c r="D2632" t="s">
        <v>9555</v>
      </c>
      <c r="E2632" t="s">
        <v>20</v>
      </c>
      <c r="F2632" t="s">
        <v>9556</v>
      </c>
      <c r="G2632" t="s">
        <v>9441</v>
      </c>
      <c r="H2632">
        <v>8321092</v>
      </c>
      <c r="I2632" t="s">
        <v>9557</v>
      </c>
    </row>
    <row r="2633" spans="1:9">
      <c r="A2633" t="str">
        <f>"0232525 "</f>
        <v xml:space="preserve">0232525 </v>
      </c>
      <c r="B2633" t="s">
        <v>9441</v>
      </c>
      <c r="C2633">
        <v>8321498</v>
      </c>
      <c r="D2633" t="s">
        <v>9558</v>
      </c>
      <c r="E2633" t="s">
        <v>20</v>
      </c>
      <c r="F2633" t="s">
        <v>9559</v>
      </c>
      <c r="G2633" t="s">
        <v>9441</v>
      </c>
      <c r="H2633">
        <v>8321498</v>
      </c>
      <c r="I2633" t="s">
        <v>9560</v>
      </c>
    </row>
    <row r="2634" spans="1:9">
      <c r="A2634" t="str">
        <f>"0231766 "</f>
        <v xml:space="preserve">0231766 </v>
      </c>
      <c r="B2634" t="s">
        <v>9441</v>
      </c>
      <c r="C2634">
        <v>8333903</v>
      </c>
      <c r="D2634" t="s">
        <v>9561</v>
      </c>
      <c r="E2634" t="s">
        <v>20</v>
      </c>
      <c r="F2634" t="s">
        <v>9562</v>
      </c>
      <c r="G2634" t="s">
        <v>9441</v>
      </c>
      <c r="H2634">
        <v>8333903</v>
      </c>
      <c r="I2634" t="s">
        <v>9563</v>
      </c>
    </row>
    <row r="2635" spans="1:9">
      <c r="A2635" t="str">
        <f>"0231767 "</f>
        <v xml:space="preserve">0231767 </v>
      </c>
      <c r="B2635" t="s">
        <v>9441</v>
      </c>
      <c r="C2635">
        <v>8334009</v>
      </c>
      <c r="D2635" t="s">
        <v>9564</v>
      </c>
      <c r="E2635" t="s">
        <v>20</v>
      </c>
      <c r="F2635" t="s">
        <v>9565</v>
      </c>
      <c r="G2635" t="s">
        <v>9441</v>
      </c>
      <c r="H2635">
        <v>8334009</v>
      </c>
      <c r="I2635" t="s">
        <v>9563</v>
      </c>
    </row>
    <row r="2636" spans="1:9">
      <c r="A2636" t="str">
        <f>"0217453 "</f>
        <v xml:space="preserve">0217453 </v>
      </c>
      <c r="B2636" t="s">
        <v>9566</v>
      </c>
      <c r="D2636" t="s">
        <v>9567</v>
      </c>
      <c r="E2636">
        <v>4</v>
      </c>
      <c r="F2636" t="s">
        <v>9568</v>
      </c>
      <c r="G2636" t="s">
        <v>9566</v>
      </c>
    </row>
    <row r="2637" spans="1:9">
      <c r="A2637" t="str">
        <f>"0217452 "</f>
        <v xml:space="preserve">0217452 </v>
      </c>
      <c r="B2637" t="s">
        <v>9566</v>
      </c>
      <c r="D2637" t="s">
        <v>9569</v>
      </c>
      <c r="E2637">
        <v>1</v>
      </c>
      <c r="F2637" t="s">
        <v>9570</v>
      </c>
      <c r="G2637" t="s">
        <v>9566</v>
      </c>
    </row>
    <row r="2638" spans="1:9">
      <c r="A2638" t="str">
        <f>"0217448 "</f>
        <v xml:space="preserve">0217448 </v>
      </c>
      <c r="B2638" t="s">
        <v>9566</v>
      </c>
      <c r="D2638" t="s">
        <v>9571</v>
      </c>
      <c r="E2638" t="s">
        <v>20</v>
      </c>
      <c r="F2638" t="s">
        <v>9572</v>
      </c>
      <c r="G2638" t="s">
        <v>9566</v>
      </c>
    </row>
    <row r="2639" spans="1:9">
      <c r="A2639" t="str">
        <f>"0217450 "</f>
        <v xml:space="preserve">0217450 </v>
      </c>
      <c r="B2639" t="s">
        <v>9566</v>
      </c>
      <c r="D2639" t="s">
        <v>9573</v>
      </c>
      <c r="E2639">
        <v>1</v>
      </c>
      <c r="F2639" t="s">
        <v>9568</v>
      </c>
      <c r="G2639" t="s">
        <v>9566</v>
      </c>
    </row>
    <row r="2640" spans="1:9">
      <c r="A2640" t="str">
        <f>"0217449 "</f>
        <v xml:space="preserve">0217449 </v>
      </c>
      <c r="B2640" t="s">
        <v>9566</v>
      </c>
      <c r="D2640" t="s">
        <v>9574</v>
      </c>
      <c r="E2640" t="s">
        <v>20</v>
      </c>
      <c r="F2640" t="s">
        <v>9570</v>
      </c>
      <c r="G2640" t="s">
        <v>9566</v>
      </c>
    </row>
    <row r="2641" spans="1:8">
      <c r="A2641" t="str">
        <f>"0012558 "</f>
        <v xml:space="preserve">0012558 </v>
      </c>
      <c r="B2641" t="s">
        <v>9566</v>
      </c>
      <c r="C2641" t="str">
        <f>"0012558"</f>
        <v>0012558</v>
      </c>
      <c r="D2641" t="s">
        <v>9575</v>
      </c>
      <c r="E2641" t="s">
        <v>20</v>
      </c>
      <c r="F2641" t="s">
        <v>9576</v>
      </c>
      <c r="G2641" t="s">
        <v>9566</v>
      </c>
      <c r="H2641" t="str">
        <f>"0012558"</f>
        <v>0012558</v>
      </c>
    </row>
    <row r="2642" spans="1:8">
      <c r="A2642" t="str">
        <f>"0012559 "</f>
        <v xml:space="preserve">0012559 </v>
      </c>
      <c r="B2642" t="s">
        <v>9566</v>
      </c>
      <c r="C2642" t="str">
        <f>"0012559"</f>
        <v>0012559</v>
      </c>
      <c r="D2642" t="s">
        <v>9577</v>
      </c>
      <c r="E2642" t="s">
        <v>20</v>
      </c>
      <c r="F2642" t="s">
        <v>9578</v>
      </c>
      <c r="G2642" t="s">
        <v>9566</v>
      </c>
      <c r="H2642" t="str">
        <f>"0012559"</f>
        <v>0012559</v>
      </c>
    </row>
    <row r="2643" spans="1:8">
      <c r="A2643" t="str">
        <f>"0012560 "</f>
        <v xml:space="preserve">0012560 </v>
      </c>
      <c r="B2643" t="s">
        <v>9566</v>
      </c>
      <c r="C2643" t="str">
        <f>"0012560"</f>
        <v>0012560</v>
      </c>
      <c r="D2643" t="s">
        <v>9579</v>
      </c>
      <c r="E2643" t="s">
        <v>20</v>
      </c>
      <c r="F2643" t="s">
        <v>9576</v>
      </c>
      <c r="G2643" t="s">
        <v>9566</v>
      </c>
      <c r="H2643" t="str">
        <f>"0012560"</f>
        <v>0012560</v>
      </c>
    </row>
    <row r="2644" spans="1:8">
      <c r="A2644" t="str">
        <f>"0012561 "</f>
        <v xml:space="preserve">0012561 </v>
      </c>
      <c r="B2644" t="s">
        <v>9566</v>
      </c>
      <c r="C2644" t="str">
        <f>"0012561"</f>
        <v>0012561</v>
      </c>
      <c r="D2644" t="s">
        <v>9580</v>
      </c>
      <c r="E2644" t="s">
        <v>20</v>
      </c>
      <c r="F2644" t="s">
        <v>9578</v>
      </c>
      <c r="G2644" t="s">
        <v>9566</v>
      </c>
      <c r="H2644" t="str">
        <f>"0012561"</f>
        <v>0012561</v>
      </c>
    </row>
    <row r="2645" spans="1:8">
      <c r="A2645" t="str">
        <f>"0015159 "</f>
        <v xml:space="preserve">0015159 </v>
      </c>
      <c r="B2645" t="s">
        <v>9566</v>
      </c>
      <c r="C2645" t="str">
        <f>"0015159"</f>
        <v>0015159</v>
      </c>
      <c r="D2645" t="s">
        <v>9581</v>
      </c>
      <c r="E2645">
        <v>4</v>
      </c>
      <c r="F2645" t="s">
        <v>9582</v>
      </c>
      <c r="G2645" t="s">
        <v>9566</v>
      </c>
      <c r="H2645" t="str">
        <f>"0015159"</f>
        <v>0015159</v>
      </c>
    </row>
    <row r="2646" spans="1:8">
      <c r="A2646" t="str">
        <f>"0019082 "</f>
        <v xml:space="preserve">0019082 </v>
      </c>
      <c r="B2646" t="s">
        <v>9566</v>
      </c>
      <c r="C2646" t="str">
        <f>"0019082"</f>
        <v>0019082</v>
      </c>
      <c r="D2646" t="s">
        <v>9583</v>
      </c>
      <c r="E2646" t="s">
        <v>20</v>
      </c>
      <c r="F2646" t="s">
        <v>9584</v>
      </c>
      <c r="G2646" t="s">
        <v>9566</v>
      </c>
      <c r="H2646" t="str">
        <f>"0019082"</f>
        <v>0019082</v>
      </c>
    </row>
    <row r="2647" spans="1:8">
      <c r="A2647" t="str">
        <f>"0038914 "</f>
        <v xml:space="preserve">0038914 </v>
      </c>
      <c r="B2647" t="s">
        <v>9566</v>
      </c>
      <c r="C2647" t="str">
        <f>"0038914"</f>
        <v>0038914</v>
      </c>
      <c r="D2647" t="s">
        <v>9585</v>
      </c>
      <c r="E2647" t="s">
        <v>20</v>
      </c>
      <c r="F2647" t="s">
        <v>9586</v>
      </c>
      <c r="G2647" t="s">
        <v>9566</v>
      </c>
      <c r="H2647" t="str">
        <f>"0038914"</f>
        <v>0038914</v>
      </c>
    </row>
    <row r="2648" spans="1:8">
      <c r="A2648" t="str">
        <f>"0086648 "</f>
        <v xml:space="preserve">0086648 </v>
      </c>
      <c r="B2648" t="s">
        <v>9566</v>
      </c>
      <c r="C2648" t="str">
        <f>"0086648"</f>
        <v>0086648</v>
      </c>
      <c r="D2648" t="s">
        <v>9587</v>
      </c>
      <c r="E2648">
        <v>2</v>
      </c>
      <c r="F2648" t="s">
        <v>9588</v>
      </c>
      <c r="G2648" t="s">
        <v>9566</v>
      </c>
      <c r="H2648" t="str">
        <f>"0086648"</f>
        <v>0086648</v>
      </c>
    </row>
    <row r="2649" spans="1:8">
      <c r="A2649" t="str">
        <f>"0086649 "</f>
        <v xml:space="preserve">0086649 </v>
      </c>
      <c r="B2649" t="s">
        <v>9566</v>
      </c>
      <c r="C2649" t="str">
        <f>"0086649"</f>
        <v>0086649</v>
      </c>
      <c r="D2649" t="s">
        <v>9589</v>
      </c>
      <c r="E2649" t="s">
        <v>20</v>
      </c>
      <c r="F2649" t="s">
        <v>9588</v>
      </c>
      <c r="G2649" t="s">
        <v>9566</v>
      </c>
      <c r="H2649" t="str">
        <f>"0086649"</f>
        <v>0086649</v>
      </c>
    </row>
    <row r="2650" spans="1:8">
      <c r="A2650" t="str">
        <f>"0154067 "</f>
        <v xml:space="preserve">0154067 </v>
      </c>
      <c r="B2650" t="s">
        <v>9566</v>
      </c>
      <c r="C2650" t="str">
        <f>"0154067"</f>
        <v>0154067</v>
      </c>
      <c r="D2650" t="s">
        <v>9590</v>
      </c>
      <c r="E2650" t="s">
        <v>20</v>
      </c>
      <c r="F2650" t="s">
        <v>9591</v>
      </c>
      <c r="G2650" t="s">
        <v>9566</v>
      </c>
      <c r="H2650" t="str">
        <f>"0154067"</f>
        <v>0154067</v>
      </c>
    </row>
    <row r="2651" spans="1:8">
      <c r="A2651" t="str">
        <f>"0159285 "</f>
        <v xml:space="preserve">0159285 </v>
      </c>
      <c r="B2651" t="s">
        <v>9566</v>
      </c>
      <c r="C2651" t="str">
        <f>"0159285"</f>
        <v>0159285</v>
      </c>
      <c r="D2651" t="s">
        <v>9592</v>
      </c>
      <c r="E2651" t="s">
        <v>20</v>
      </c>
      <c r="F2651" t="s">
        <v>8439</v>
      </c>
      <c r="G2651" t="s">
        <v>9566</v>
      </c>
      <c r="H2651" t="str">
        <f>"0159285"</f>
        <v>0159285</v>
      </c>
    </row>
    <row r="2652" spans="1:8">
      <c r="A2652" t="str">
        <f>"0160614 "</f>
        <v xml:space="preserve">0160614 </v>
      </c>
      <c r="B2652" t="s">
        <v>9566</v>
      </c>
      <c r="C2652" t="str">
        <f>"0160614"</f>
        <v>0160614</v>
      </c>
      <c r="D2652" t="s">
        <v>9593</v>
      </c>
      <c r="E2652" t="s">
        <v>20</v>
      </c>
      <c r="F2652" t="s">
        <v>9594</v>
      </c>
      <c r="G2652" t="s">
        <v>9566</v>
      </c>
      <c r="H2652" t="str">
        <f>"0160614"</f>
        <v>0160614</v>
      </c>
    </row>
    <row r="2653" spans="1:8">
      <c r="A2653" t="str">
        <f>"0160615 "</f>
        <v xml:space="preserve">0160615 </v>
      </c>
      <c r="B2653" t="s">
        <v>9566</v>
      </c>
      <c r="C2653" t="str">
        <f>"0160615"</f>
        <v>0160615</v>
      </c>
      <c r="D2653" t="s">
        <v>9595</v>
      </c>
      <c r="E2653" t="s">
        <v>20</v>
      </c>
      <c r="F2653" t="s">
        <v>9596</v>
      </c>
      <c r="G2653" t="s">
        <v>9566</v>
      </c>
      <c r="H2653" t="str">
        <f>"0160615"</f>
        <v>0160615</v>
      </c>
    </row>
    <row r="2654" spans="1:8">
      <c r="A2654" t="str">
        <f>"0161250 "</f>
        <v xml:space="preserve">0161250 </v>
      </c>
      <c r="B2654" t="s">
        <v>9566</v>
      </c>
      <c r="C2654" t="str">
        <f>"0161250"</f>
        <v>0161250</v>
      </c>
      <c r="D2654" t="s">
        <v>9597</v>
      </c>
      <c r="E2654" t="s">
        <v>20</v>
      </c>
      <c r="F2654" t="s">
        <v>9598</v>
      </c>
      <c r="G2654" t="s">
        <v>9566</v>
      </c>
      <c r="H2654" t="str">
        <f>"0161250"</f>
        <v>0161250</v>
      </c>
    </row>
    <row r="2655" spans="1:8">
      <c r="A2655" t="str">
        <f>"0161424 "</f>
        <v xml:space="preserve">0161424 </v>
      </c>
      <c r="B2655" t="s">
        <v>9566</v>
      </c>
      <c r="C2655" t="str">
        <f>"0161424"</f>
        <v>0161424</v>
      </c>
      <c r="D2655" t="s">
        <v>9599</v>
      </c>
      <c r="E2655" t="s">
        <v>20</v>
      </c>
      <c r="F2655" t="s">
        <v>9572</v>
      </c>
      <c r="G2655" t="s">
        <v>9566</v>
      </c>
      <c r="H2655" t="str">
        <f>"0161424"</f>
        <v>0161424</v>
      </c>
    </row>
    <row r="2656" spans="1:8">
      <c r="A2656" t="str">
        <f>"0161425 "</f>
        <v xml:space="preserve">0161425 </v>
      </c>
      <c r="B2656" t="s">
        <v>9566</v>
      </c>
      <c r="C2656" t="str">
        <f>"0161425"</f>
        <v>0161425</v>
      </c>
      <c r="D2656" t="s">
        <v>9600</v>
      </c>
      <c r="E2656" t="s">
        <v>20</v>
      </c>
      <c r="F2656" t="s">
        <v>9570</v>
      </c>
      <c r="G2656" t="s">
        <v>9566</v>
      </c>
      <c r="H2656" t="str">
        <f>"0161425"</f>
        <v>0161425</v>
      </c>
    </row>
    <row r="2657" spans="1:8">
      <c r="A2657" t="str">
        <f>"0161426 "</f>
        <v xml:space="preserve">0161426 </v>
      </c>
      <c r="B2657" t="s">
        <v>9566</v>
      </c>
      <c r="C2657" t="str">
        <f>"0161426"</f>
        <v>0161426</v>
      </c>
      <c r="D2657" t="s">
        <v>9601</v>
      </c>
      <c r="E2657" t="s">
        <v>20</v>
      </c>
      <c r="F2657" t="s">
        <v>9568</v>
      </c>
      <c r="G2657" t="s">
        <v>9566</v>
      </c>
      <c r="H2657" t="str">
        <f>"0161426"</f>
        <v>0161426</v>
      </c>
    </row>
    <row r="2658" spans="1:8">
      <c r="A2658" t="str">
        <f>"0161428 "</f>
        <v xml:space="preserve">0161428 </v>
      </c>
      <c r="B2658" t="s">
        <v>9566</v>
      </c>
      <c r="C2658" t="str">
        <f>"0161428"</f>
        <v>0161428</v>
      </c>
      <c r="D2658" t="s">
        <v>9602</v>
      </c>
      <c r="E2658" t="s">
        <v>20</v>
      </c>
      <c r="F2658" t="s">
        <v>9572</v>
      </c>
      <c r="G2658" t="s">
        <v>9566</v>
      </c>
      <c r="H2658" t="str">
        <f>"0161428"</f>
        <v>0161428</v>
      </c>
    </row>
    <row r="2659" spans="1:8">
      <c r="A2659" t="str">
        <f>"0161429 "</f>
        <v xml:space="preserve">0161429 </v>
      </c>
      <c r="B2659" t="s">
        <v>9566</v>
      </c>
      <c r="C2659" t="str">
        <f>"0161429"</f>
        <v>0161429</v>
      </c>
      <c r="D2659" t="s">
        <v>9603</v>
      </c>
      <c r="E2659" t="s">
        <v>20</v>
      </c>
      <c r="F2659" t="s">
        <v>9570</v>
      </c>
      <c r="G2659" t="s">
        <v>9566</v>
      </c>
      <c r="H2659" t="str">
        <f>"0161429"</f>
        <v>0161429</v>
      </c>
    </row>
    <row r="2660" spans="1:8">
      <c r="A2660" t="str">
        <f>"0161430 "</f>
        <v xml:space="preserve">0161430 </v>
      </c>
      <c r="B2660" t="s">
        <v>9566</v>
      </c>
      <c r="C2660" t="str">
        <f>"0161430"</f>
        <v>0161430</v>
      </c>
      <c r="D2660" t="s">
        <v>9604</v>
      </c>
      <c r="E2660" t="s">
        <v>20</v>
      </c>
      <c r="F2660" t="s">
        <v>9568</v>
      </c>
      <c r="G2660" t="s">
        <v>9566</v>
      </c>
      <c r="H2660" t="str">
        <f>"0161430"</f>
        <v>0161430</v>
      </c>
    </row>
    <row r="2661" spans="1:8">
      <c r="A2661" t="str">
        <f>"0241274 "</f>
        <v xml:space="preserve">0241274 </v>
      </c>
      <c r="B2661" t="s">
        <v>9605</v>
      </c>
      <c r="C2661">
        <v>241274</v>
      </c>
      <c r="D2661" t="s">
        <v>9606</v>
      </c>
      <c r="E2661" t="s">
        <v>20</v>
      </c>
      <c r="F2661" t="s">
        <v>9607</v>
      </c>
      <c r="G2661" t="s">
        <v>9605</v>
      </c>
      <c r="H2661">
        <v>241274</v>
      </c>
    </row>
    <row r="2662" spans="1:8">
      <c r="A2662" t="str">
        <f>"0088021 "</f>
        <v xml:space="preserve">0088021 </v>
      </c>
      <c r="B2662" t="s">
        <v>9608</v>
      </c>
      <c r="C2662" t="s">
        <v>9609</v>
      </c>
      <c r="D2662" t="s">
        <v>9610</v>
      </c>
      <c r="E2662" t="s">
        <v>20</v>
      </c>
      <c r="F2662" t="s">
        <v>9611</v>
      </c>
      <c r="G2662" t="s">
        <v>9608</v>
      </c>
      <c r="H2662" t="s">
        <v>9609</v>
      </c>
    </row>
    <row r="2663" spans="1:8">
      <c r="A2663" t="str">
        <f>"0088022 "</f>
        <v xml:space="preserve">0088022 </v>
      </c>
      <c r="B2663" t="s">
        <v>9608</v>
      </c>
      <c r="C2663" t="s">
        <v>9612</v>
      </c>
      <c r="D2663" t="s">
        <v>9613</v>
      </c>
      <c r="E2663" t="s">
        <v>20</v>
      </c>
      <c r="F2663" t="s">
        <v>9614</v>
      </c>
      <c r="G2663" t="s">
        <v>9608</v>
      </c>
      <c r="H2663" t="s">
        <v>9612</v>
      </c>
    </row>
    <row r="2664" spans="1:8">
      <c r="A2664" t="str">
        <f>"0088019 "</f>
        <v xml:space="preserve">0088019 </v>
      </c>
      <c r="B2664" t="s">
        <v>9608</v>
      </c>
      <c r="C2664" t="s">
        <v>9615</v>
      </c>
      <c r="D2664" t="s">
        <v>9616</v>
      </c>
      <c r="E2664">
        <v>2</v>
      </c>
      <c r="F2664" t="s">
        <v>9617</v>
      </c>
      <c r="G2664" t="s">
        <v>9608</v>
      </c>
      <c r="H2664" t="s">
        <v>9615</v>
      </c>
    </row>
    <row r="2665" spans="1:8">
      <c r="A2665" t="str">
        <f>"0088020 "</f>
        <v xml:space="preserve">0088020 </v>
      </c>
      <c r="B2665" t="s">
        <v>9608</v>
      </c>
      <c r="C2665" t="s">
        <v>9618</v>
      </c>
      <c r="D2665" t="s">
        <v>9619</v>
      </c>
      <c r="E2665">
        <v>5</v>
      </c>
      <c r="F2665" t="s">
        <v>9620</v>
      </c>
      <c r="G2665" t="s">
        <v>9608</v>
      </c>
      <c r="H2665" t="s">
        <v>9618</v>
      </c>
    </row>
    <row r="2666" spans="1:8">
      <c r="A2666" t="str">
        <f>"0088025 "</f>
        <v xml:space="preserve">0088025 </v>
      </c>
      <c r="B2666" t="s">
        <v>9608</v>
      </c>
      <c r="C2666" t="str">
        <f>"430130005"</f>
        <v>430130005</v>
      </c>
      <c r="D2666" t="s">
        <v>9621</v>
      </c>
      <c r="E2666" t="s">
        <v>20</v>
      </c>
      <c r="F2666" t="s">
        <v>7299</v>
      </c>
      <c r="G2666" t="s">
        <v>9608</v>
      </c>
      <c r="H2666" t="str">
        <f>"430130005"</f>
        <v>430130005</v>
      </c>
    </row>
    <row r="2667" spans="1:8">
      <c r="A2667" t="str">
        <f>"0088026 "</f>
        <v xml:space="preserve">0088026 </v>
      </c>
      <c r="B2667" t="s">
        <v>9608</v>
      </c>
      <c r="C2667" t="str">
        <f>"430130006"</f>
        <v>430130006</v>
      </c>
      <c r="D2667" t="s">
        <v>9622</v>
      </c>
      <c r="E2667">
        <v>5</v>
      </c>
      <c r="F2667" t="s">
        <v>9623</v>
      </c>
      <c r="G2667" t="s">
        <v>9608</v>
      </c>
      <c r="H2667" t="str">
        <f>"430130006"</f>
        <v>430130006</v>
      </c>
    </row>
    <row r="2668" spans="1:8">
      <c r="A2668" t="str">
        <f>"0163665 "</f>
        <v xml:space="preserve">0163665 </v>
      </c>
      <c r="B2668" t="s">
        <v>9608</v>
      </c>
      <c r="C2668" t="str">
        <f>"430130011"</f>
        <v>430130011</v>
      </c>
      <c r="D2668" t="s">
        <v>9624</v>
      </c>
      <c r="E2668">
        <v>1</v>
      </c>
      <c r="F2668" t="s">
        <v>9625</v>
      </c>
      <c r="G2668" t="s">
        <v>9608</v>
      </c>
      <c r="H2668" t="str">
        <f>"430130011"</f>
        <v>430130011</v>
      </c>
    </row>
    <row r="2669" spans="1:8">
      <c r="A2669" t="str">
        <f>"0163666 "</f>
        <v xml:space="preserve">0163666 </v>
      </c>
      <c r="B2669" t="s">
        <v>9608</v>
      </c>
      <c r="C2669" t="str">
        <f>"430130012"</f>
        <v>430130012</v>
      </c>
      <c r="D2669" t="s">
        <v>9626</v>
      </c>
      <c r="E2669" t="s">
        <v>20</v>
      </c>
      <c r="F2669" t="s">
        <v>1061</v>
      </c>
      <c r="G2669" t="s">
        <v>9608</v>
      </c>
      <c r="H2669" t="str">
        <f>"430130012"</f>
        <v>430130012</v>
      </c>
    </row>
    <row r="2670" spans="1:8">
      <c r="A2670" t="str">
        <f>"0088036 "</f>
        <v xml:space="preserve">0088036 </v>
      </c>
      <c r="B2670" t="s">
        <v>9608</v>
      </c>
      <c r="C2670" t="str">
        <f>"430206032"</f>
        <v>430206032</v>
      </c>
      <c r="D2670" t="s">
        <v>9627</v>
      </c>
      <c r="E2670">
        <v>5</v>
      </c>
      <c r="F2670" t="s">
        <v>9628</v>
      </c>
      <c r="G2670" t="s">
        <v>9608</v>
      </c>
      <c r="H2670" t="str">
        <f>"430206032"</f>
        <v>430206032</v>
      </c>
    </row>
    <row r="2671" spans="1:8">
      <c r="A2671" t="str">
        <f>"0088029 "</f>
        <v xml:space="preserve">0088029 </v>
      </c>
      <c r="B2671" t="s">
        <v>9608</v>
      </c>
      <c r="C2671" t="str">
        <f>"430207014"</f>
        <v>430207014</v>
      </c>
      <c r="D2671" t="s">
        <v>9629</v>
      </c>
      <c r="E2671">
        <v>2</v>
      </c>
      <c r="F2671" t="s">
        <v>9630</v>
      </c>
      <c r="G2671" t="s">
        <v>9608</v>
      </c>
      <c r="H2671" t="str">
        <f>"430207014"</f>
        <v>430207014</v>
      </c>
    </row>
    <row r="2672" spans="1:8">
      <c r="A2672" t="str">
        <f>"0088031 "</f>
        <v xml:space="preserve">0088031 </v>
      </c>
      <c r="B2672" t="s">
        <v>9608</v>
      </c>
      <c r="C2672" t="str">
        <f>"430207016"</f>
        <v>430207016</v>
      </c>
      <c r="D2672" t="s">
        <v>9631</v>
      </c>
      <c r="E2672">
        <v>1</v>
      </c>
      <c r="F2672" t="s">
        <v>9632</v>
      </c>
      <c r="G2672" t="s">
        <v>9608</v>
      </c>
      <c r="H2672" t="str">
        <f>"430207016"</f>
        <v>430207016</v>
      </c>
    </row>
    <row r="2673" spans="1:8">
      <c r="A2673" t="str">
        <f>"0088032 "</f>
        <v xml:space="preserve">0088032 </v>
      </c>
      <c r="B2673" t="s">
        <v>9608</v>
      </c>
      <c r="C2673" t="str">
        <f>"430207017"</f>
        <v>430207017</v>
      </c>
      <c r="D2673" t="s">
        <v>9633</v>
      </c>
      <c r="E2673" t="s">
        <v>20</v>
      </c>
      <c r="F2673" t="s">
        <v>9634</v>
      </c>
      <c r="G2673" t="s">
        <v>9608</v>
      </c>
      <c r="H2673" t="str">
        <f>"430207017"</f>
        <v>430207017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price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Avessalom</dc:creator>
  <cp:lastModifiedBy>Avessalom</cp:lastModifiedBy>
  <dcterms:created xsi:type="dcterms:W3CDTF">2017-03-15T20:47:15Z</dcterms:created>
  <dcterms:modified xsi:type="dcterms:W3CDTF">2017-03-15T20:47:16Z</dcterms:modified>
</cp:coreProperties>
</file>